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tables/table2.xml" ContentType="application/vnd.openxmlformats-officedocument.spreadsheetml.table+xml"/>
  <Override PartName="/xl/featurePropertyBag/featurePropertyBag.xml" ContentType="application/vnd.ms-excel.featurepropertyba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codeName="{28389E77-7640-9E18-AD5C-E98E2F4A8B83}"/>
  <workbookPr codeName="Sellest_töövihikust"/>
  <mc:AlternateContent xmlns:mc="http://schemas.openxmlformats.org/markup-compatibility/2006">
    <mc:Choice Requires="x15">
      <x15ac:absPath xmlns:x15ac="http://schemas.microsoft.com/office/spreadsheetml/2010/11/ac" url="C:\Minu dokumendid\Keskkonnaamet\Aruanded\T6hususe_hindamine\Šveitsi projekt\2026\Kasti MKA\"/>
    </mc:Choice>
  </mc:AlternateContent>
  <xr:revisionPtr revIDLastSave="0" documentId="13_ncr:1_{6269EC2B-E843-4FD5-ACE6-E3F55BBCF8B9}" xr6:coauthVersionLast="47" xr6:coauthVersionMax="47" xr10:uidLastSave="{00000000-0000-0000-0000-000000000000}"/>
  <bookViews>
    <workbookView xWindow="-120" yWindow="-120" windowWidth="25440" windowHeight="15270" tabRatio="850" activeTab="2" xr2:uid="{00000000-000D-0000-FFFF-FFFF00000000}"/>
  </bookViews>
  <sheets>
    <sheet name="Cover page" sheetId="37" r:id="rId1"/>
    <sheet name="Mõisted" sheetId="33" r:id="rId2"/>
    <sheet name="Üldinfo" sheetId="30" r:id="rId3"/>
    <sheet name="Hindamistabel" sheetId="31" r:id="rId4"/>
    <sheet name="skoor" sheetId="35" r:id="rId5"/>
    <sheet name="Kokkuvõte" sheetId="36" r:id="rId6"/>
  </sheets>
  <definedNames>
    <definedName name="_xlnm._FilterDatabase" localSheetId="3" hidden="1">Hindamistabel!$A$1:$L$198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55" i="36" l="1"/>
  <c r="F54" i="36"/>
  <c r="F53" i="36"/>
  <c r="F52" i="36"/>
  <c r="F51" i="36"/>
  <c r="F50" i="36"/>
  <c r="F49" i="36"/>
  <c r="F45" i="36"/>
  <c r="F41" i="36"/>
  <c r="F40" i="36"/>
  <c r="F39" i="36"/>
  <c r="F38" i="36"/>
  <c r="F37" i="36"/>
  <c r="F36" i="36"/>
  <c r="F35" i="36"/>
  <c r="F34" i="36"/>
  <c r="F33" i="36"/>
  <c r="F32" i="36"/>
  <c r="F31" i="36"/>
  <c r="F30" i="36"/>
  <c r="F29" i="36"/>
  <c r="F28" i="36"/>
  <c r="F27" i="36"/>
  <c r="F26" i="36"/>
  <c r="F25" i="36"/>
  <c r="F24" i="36"/>
  <c r="F23" i="36"/>
  <c r="F22" i="36"/>
  <c r="F21" i="36"/>
  <c r="F20" i="36"/>
  <c r="F19" i="36"/>
  <c r="F18" i="36"/>
  <c r="F17" i="36"/>
  <c r="F16" i="36"/>
  <c r="F15" i="36"/>
  <c r="F14" i="36"/>
  <c r="F13" i="36"/>
  <c r="F12" i="36"/>
  <c r="F11" i="36"/>
  <c r="F10" i="36"/>
  <c r="F9" i="36"/>
  <c r="F8" i="36"/>
  <c r="F7" i="36"/>
  <c r="F6" i="36"/>
  <c r="F5" i="36"/>
  <c r="F4" i="36"/>
  <c r="E18" i="36"/>
  <c r="E41" i="36"/>
  <c r="C26" i="30"/>
  <c r="G55" i="36" l="1"/>
  <c r="G53" i="36"/>
  <c r="G52" i="36"/>
  <c r="G51" i="36"/>
  <c r="G50" i="36"/>
  <c r="G49" i="36"/>
  <c r="G45" i="36"/>
  <c r="G41" i="36"/>
  <c r="G40" i="36"/>
  <c r="G39" i="36"/>
  <c r="G38" i="36"/>
  <c r="G37" i="36"/>
  <c r="G36" i="36"/>
  <c r="G35" i="36"/>
  <c r="G34" i="36"/>
  <c r="G33" i="36"/>
  <c r="G32" i="36"/>
  <c r="G31" i="36"/>
  <c r="G30" i="36"/>
  <c r="G29" i="36"/>
  <c r="G28" i="36"/>
  <c r="G27" i="36"/>
  <c r="G26" i="36"/>
  <c r="G25" i="36"/>
  <c r="G24" i="36"/>
  <c r="G23" i="36"/>
  <c r="G22" i="36"/>
  <c r="G21" i="36"/>
  <c r="G20" i="36"/>
  <c r="G19" i="36"/>
  <c r="G18" i="36"/>
  <c r="G17" i="36"/>
  <c r="G16" i="36"/>
  <c r="G15" i="36"/>
  <c r="G14" i="36"/>
  <c r="G13" i="36"/>
  <c r="G12" i="36"/>
  <c r="G11" i="36"/>
  <c r="G10" i="36"/>
  <c r="G9" i="36"/>
  <c r="G8" i="36"/>
  <c r="G7" i="36"/>
  <c r="G6" i="36"/>
  <c r="G5" i="36"/>
  <c r="G4" i="36"/>
  <c r="F48" i="36" l="1"/>
  <c r="E13" i="36" a="1"/>
  <c r="E13" i="36" s="1"/>
  <c r="G57" i="36" l="1"/>
  <c r="F57" i="36"/>
  <c r="E57" i="36"/>
  <c r="G56" i="36"/>
  <c r="F56" i="36"/>
  <c r="E56" i="36"/>
  <c r="E55" i="36"/>
  <c r="G54" i="36"/>
  <c r="E54" i="36"/>
  <c r="E53" i="36"/>
  <c r="E52" i="36"/>
  <c r="E51" i="36"/>
  <c r="E50" i="36"/>
  <c r="E49" i="36"/>
  <c r="G48" i="36"/>
  <c r="E48" i="36"/>
  <c r="G47" i="36"/>
  <c r="F47" i="36"/>
  <c r="E47" i="36"/>
  <c r="G46" i="36"/>
  <c r="F46" i="36"/>
  <c r="E46" i="36"/>
  <c r="E45" i="36"/>
  <c r="G44" i="36"/>
  <c r="F44" i="36"/>
  <c r="E44" i="36"/>
  <c r="G43" i="36"/>
  <c r="F43" i="36"/>
  <c r="E43" i="36"/>
  <c r="G42" i="36"/>
  <c r="F42" i="36"/>
  <c r="E42" i="36"/>
  <c r="E40" i="36"/>
  <c r="E39" i="36"/>
  <c r="E38" i="36"/>
  <c r="E37" i="36"/>
  <c r="E36" i="36"/>
  <c r="E35" i="36"/>
  <c r="E34" i="36"/>
  <c r="E33" i="36"/>
  <c r="E32" i="36"/>
  <c r="E31" i="36"/>
  <c r="E30" i="36"/>
  <c r="E29" i="36"/>
  <c r="E28" i="36"/>
  <c r="E27" i="36"/>
  <c r="E26" i="36"/>
  <c r="E25" i="36"/>
  <c r="E24" i="36"/>
  <c r="E23" i="36"/>
  <c r="E22" i="36"/>
  <c r="E21" i="36"/>
  <c r="E20" i="36"/>
  <c r="E19" i="36"/>
  <c r="E17" i="36"/>
  <c r="E16" i="36"/>
  <c r="E15" i="36"/>
  <c r="E14" i="36"/>
  <c r="E12" i="36"/>
  <c r="E11" i="36"/>
  <c r="E10" i="36"/>
  <c r="E9" i="36"/>
  <c r="E8" i="36"/>
  <c r="E7" i="36"/>
  <c r="E6" i="36"/>
  <c r="E5" i="36"/>
  <c r="E4" i="36"/>
  <c r="F5" i="35" l="1"/>
  <c r="E5" i="35" s="1"/>
  <c r="F19" i="35"/>
  <c r="E19" i="35" s="1"/>
  <c r="F53" i="35"/>
  <c r="E53" i="35" s="1"/>
  <c r="F51" i="35"/>
  <c r="E51" i="35" s="1"/>
  <c r="F49" i="35"/>
  <c r="E49" i="35" s="1"/>
  <c r="F43" i="35"/>
  <c r="E43" i="35" s="1"/>
  <c r="F39" i="35"/>
  <c r="E39" i="35" s="1"/>
  <c r="F37" i="35"/>
  <c r="E37" i="35" s="1"/>
  <c r="F36" i="35"/>
  <c r="E36" i="35" s="1"/>
  <c r="F35" i="35"/>
  <c r="E35" i="35" s="1"/>
  <c r="F33" i="35"/>
  <c r="E33" i="35" s="1"/>
  <c r="F32" i="35"/>
  <c r="E32" i="35" s="1"/>
  <c r="F31" i="35"/>
  <c r="E31" i="35" s="1"/>
  <c r="F30" i="35"/>
  <c r="E30" i="35" s="1"/>
  <c r="F29" i="35"/>
  <c r="E29" i="35" s="1"/>
  <c r="F26" i="35"/>
  <c r="E26" i="35" s="1"/>
  <c r="F25" i="35"/>
  <c r="E25" i="35" s="1"/>
  <c r="F22" i="35"/>
  <c r="E22" i="35" s="1"/>
  <c r="F16" i="35"/>
  <c r="E16" i="35" s="1"/>
  <c r="F15" i="35"/>
  <c r="E15" i="35" s="1"/>
  <c r="F6" i="35"/>
  <c r="E6" i="35" s="1"/>
  <c r="F4" i="35"/>
  <c r="E4" i="35" s="1"/>
  <c r="F3" i="35"/>
  <c r="E3" i="35" s="1"/>
  <c r="F2" i="35"/>
  <c r="E2" i="35" s="1"/>
  <c r="F50" i="35"/>
  <c r="E50" i="35" s="1"/>
  <c r="F48" i="35"/>
  <c r="E48" i="35" s="1"/>
  <c r="F47" i="35"/>
  <c r="E47" i="35" s="1"/>
  <c r="F24" i="35"/>
  <c r="E24" i="35" s="1"/>
  <c r="F21" i="35"/>
  <c r="E21" i="35" s="1"/>
  <c r="F20" i="35"/>
  <c r="E20" i="35" s="1"/>
  <c r="F18" i="35"/>
  <c r="E18" i="35" s="1"/>
  <c r="F14" i="35"/>
  <c r="E14" i="35" s="1"/>
  <c r="F13" i="35"/>
  <c r="E13" i="35" s="1"/>
  <c r="F12" i="35"/>
  <c r="E12" i="35" s="1"/>
  <c r="F10" i="35"/>
  <c r="E10" i="35" s="1"/>
  <c r="F9" i="35"/>
  <c r="E9" i="35" s="1"/>
  <c r="F8" i="35"/>
  <c r="E8" i="35" s="1"/>
  <c r="F7" i="35"/>
  <c r="E7" i="35" s="1"/>
  <c r="B67" i="35" l="1"/>
  <c r="B69" i="35"/>
  <c r="B63" i="35"/>
  <c r="B65" i="35"/>
  <c r="B71" i="35"/>
  <c r="B61" i="35"/>
  <c r="B66" i="35"/>
  <c r="B73" i="35"/>
  <c r="B74" i="35"/>
  <c r="B68" i="35"/>
  <c r="B64" i="35"/>
  <c r="B62" i="35"/>
  <c r="B72" i="35"/>
  <c r="B60" i="35"/>
  <c r="C60" i="35"/>
  <c r="C71" i="35"/>
  <c r="C72" i="35"/>
  <c r="C69" i="35"/>
  <c r="C68" i="35"/>
  <c r="C74" i="35"/>
  <c r="C67" i="35"/>
  <c r="D67" i="35" s="1"/>
  <c r="C73" i="35"/>
  <c r="C66" i="35"/>
  <c r="C65" i="35"/>
  <c r="C64" i="35"/>
  <c r="C63" i="35"/>
  <c r="C62" i="35"/>
  <c r="C61" i="35"/>
  <c r="F56" i="35"/>
  <c r="D71" i="35" l="1"/>
  <c r="D60" i="35"/>
  <c r="D63" i="35"/>
  <c r="D69" i="35"/>
  <c r="D74" i="35"/>
  <c r="D68" i="35"/>
  <c r="D66" i="35"/>
  <c r="D73" i="35"/>
  <c r="D65" i="35"/>
  <c r="D64" i="35"/>
  <c r="D62" i="35"/>
  <c r="D72" i="35"/>
  <c r="E56" i="35"/>
  <c r="D61" i="35"/>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<sst xmlns="http://schemas.openxmlformats.org/spreadsheetml/2006/main" count="1334" uniqueCount="561">
  <si>
    <t>Mõisted ja lühendid</t>
  </si>
  <si>
    <t>Mõiste</t>
  </si>
  <si>
    <t>Selgitus</t>
  </si>
  <si>
    <t>Kaitseväärtus</t>
  </si>
  <si>
    <t>Ala kaitse alla võtmise määruses/kaitse-eeskirjas nimetatud kaitstav loodusväärtus (kaitse-eesmärk).</t>
  </si>
  <si>
    <t>Kaitse-eesmärk</t>
  </si>
  <si>
    <t>Kaitseväärtuse soovitud seisund.</t>
  </si>
  <si>
    <t>Kava</t>
  </si>
  <si>
    <t xml:space="preserve">Kaitstava loodusobjekti kaitsekorralduse aluseks olev tegevuskava: kaitsekorralduskava, liigi kaitse tegevuskava, elupaiga tegevuskava. </t>
  </si>
  <si>
    <t>KKK</t>
  </si>
  <si>
    <t>Kaitstava loodusobjekti kaitsekorralduskava.</t>
  </si>
  <si>
    <t>Kaitsekorraldusperiood</t>
  </si>
  <si>
    <t>Esmakordsel hindamisel ja ajakohase (s.t kava sisu on olnud üldjoontes jätkuvalt asjakohane) kava olemasolul on hinnatava kaitsekorraldusperioodi alguseks kava algus/koostamise aeg ja perioodi lõpuks hindamise aeg. Kava puudumisel ja/või korduval hindamisel saab kaitsekorraldusperioodiks arvestada hindamistsükli pikkust/eelmise hindamise läbi viimise aega (vastavalt hindamise korraldusele 10 või 12 aastat).</t>
  </si>
  <si>
    <t>Survetegur</t>
  </si>
  <si>
    <t>Kaitseväärtuse soodsa seisundi säilimist või saavutamist negatiivselt mõjutav tegur (nt reostuskoormus, häiringud, maaparanduse mõju, intensiivne maakasutus, võõrliikide surve jm)</t>
  </si>
  <si>
    <t>Kaitsekorralduslikud meetmed</t>
  </si>
  <si>
    <t>SMART</t>
  </si>
  <si>
    <t>Väljund (rakendatud tegevus)</t>
  </si>
  <si>
    <t xml:space="preserve">Väljunditeks on ellu viidud tegevused ja nende mõõdetavad näitajad: nt taastatud või hooldatud alade pindala, rajatud külastustaristu pikkus, kontrollkäikude arv vms. </t>
  </si>
  <si>
    <t>Tulemus (saavutatud seisund)</t>
  </si>
  <si>
    <t>Tulemus on ellu viidud tegevuste abil saavutatud olukord, mis võib olla kirjeldatud läbi liikide ja elupaikade seisundi.</t>
  </si>
  <si>
    <t>Survetegurite kategooriad</t>
  </si>
  <si>
    <t>põllumajandus</t>
  </si>
  <si>
    <t>(intensiivne) maaharimine, karjatamine, taimekaitsevahendite ja väetiste kasutmine jm</t>
  </si>
  <si>
    <t>rohumaade hülgamine</t>
  </si>
  <si>
    <t>niitmise või karjatamise lõppemine</t>
  </si>
  <si>
    <t>põllumajandusmaade kuivendamine</t>
  </si>
  <si>
    <t>põllumajandusmaade maaparandusüsteemid</t>
  </si>
  <si>
    <t>metsandus</t>
  </si>
  <si>
    <t>raied, raadamine, metsastamine jm</t>
  </si>
  <si>
    <t>metsamaade kuivendamine</t>
  </si>
  <si>
    <t>metsamaade maaparandusüsteemid</t>
  </si>
  <si>
    <t>kaevandamine</t>
  </si>
  <si>
    <t>kaevandamine, s.h turbakaevandused</t>
  </si>
  <si>
    <t>energia tootmine (sh infrastruktuur)</t>
  </si>
  <si>
    <t>hüdroenergia, tuulepargid, päikesepargid, elektriliinid jm</t>
  </si>
  <si>
    <t>transport</t>
  </si>
  <si>
    <t>teed, raudteed, sadamad, maismaa- ja veeliiklus jm</t>
  </si>
  <si>
    <t>ehitustegevus ja asustus</t>
  </si>
  <si>
    <t>asustuse laienemine, ehitustegevus, puhketegevused, reostus asustusest, äri- ja tootmistegevusest jm</t>
  </si>
  <si>
    <t>elusorganismide kasutus</t>
  </si>
  <si>
    <t>vesiviljelus, kalastamine, jahipidamine, toidu ja muu materjali kogumine loodusest, liikide või elupaikade kahjustamine jm</t>
  </si>
  <si>
    <t>militaartegevused ja muud inimsekkumised</t>
  </si>
  <si>
    <t>militaaralad, tarastamine, vandalism</t>
  </si>
  <si>
    <t>võõr- ja problemaatilised liigid</t>
  </si>
  <si>
    <t>võõrliigid, probleemsed kodumaised liigid jm</t>
  </si>
  <si>
    <t>heited vette, heited pinnasesse, heited õhku, müra, valgusreostus jm</t>
  </si>
  <si>
    <t>inimtekkelised veerežiimi muutused</t>
  </si>
  <si>
    <t>maaparandus, veekogude hüdromorfoloogia muutmine, veevõtt jm</t>
  </si>
  <si>
    <t>looduslikud protsessid</t>
  </si>
  <si>
    <t>erosioon, eutrofeerumine, koosluste looduslik areng, kisklus, kobraste tegevus, haigused ja parasiidid jm</t>
  </si>
  <si>
    <t>loodusõnnetused</t>
  </si>
  <si>
    <t>torm, põleng, maalihe, üleujutus jm</t>
  </si>
  <si>
    <t>kliimamuutused</t>
  </si>
  <si>
    <t>põuad, üleujutused, veerežiimi muutused, liikide levikuareaali muutumine jm kliimamuutuste mõjul</t>
  </si>
  <si>
    <t>muu</t>
  </si>
  <si>
    <t>Üldinfo</t>
  </si>
  <si>
    <t>Küsimus</t>
  </si>
  <si>
    <t>Vastus</t>
  </si>
  <si>
    <t>Kaitstava loodusobjekti nimi</t>
  </si>
  <si>
    <t>KKR kood</t>
  </si>
  <si>
    <t>Asukoht (maakonnad)</t>
  </si>
  <si>
    <t>Kaitse alla võtmise aeg (ala moodustamise aasta)</t>
  </si>
  <si>
    <t>Vöönd(id):</t>
  </si>
  <si>
    <t>loodusreservaatide arv</t>
  </si>
  <si>
    <t>loodusreservaatide kogupindala</t>
  </si>
  <si>
    <t>sihtkaitsevööndite arv</t>
  </si>
  <si>
    <t>sihtkaitsevööndite kogupindala</t>
  </si>
  <si>
    <t>piiranguvööndite arv</t>
  </si>
  <si>
    <t>piiranguvööndite kogupindala</t>
  </si>
  <si>
    <t>IUCN kategooria(d)</t>
  </si>
  <si>
    <t>Natura 2000 võrgustiku alad</t>
  </si>
  <si>
    <t>Kaitseala valitseja</t>
  </si>
  <si>
    <t>Kogupindala (ha)</t>
  </si>
  <si>
    <t>Maismaa pindala (ha)</t>
  </si>
  <si>
    <t>Eraomandis oleva maa pindala (ha)</t>
  </si>
  <si>
    <t>Kaitsekorralduskava nimi</t>
  </si>
  <si>
    <t>Kaitsekorralduskava tegevuskava periood</t>
  </si>
  <si>
    <t>Tulemuslikkuse hindaja nimi</t>
  </si>
  <si>
    <t>Eelmise hindamise aeg (pp.kk.aaaa), s.h METT hindamine</t>
  </si>
  <si>
    <t>Loodusobjekti esile tõstmist vääriv tähtsus või eripära piirkonna, Eesti või Euroopa kontekstis* (*täita asjakohasusel)</t>
  </si>
  <si>
    <t>Valdkond</t>
  </si>
  <si>
    <t>Teema</t>
  </si>
  <si>
    <t>Nr</t>
  </si>
  <si>
    <t>Suunised vastamiseks</t>
  </si>
  <si>
    <t>Vastuse liik</t>
  </si>
  <si>
    <t>Võimalikud andmeallikad</t>
  </si>
  <si>
    <t>Vastusevariandid</t>
  </si>
  <si>
    <t>Skoor</t>
  </si>
  <si>
    <t>Vastamisel kasutatud andmeallikas</t>
  </si>
  <si>
    <t>üldine</t>
  </si>
  <si>
    <t>Kas alal on (ajakohane) kava?</t>
  </si>
  <si>
    <t>Kavana mõistetakse siinkohal vastavalt kohaldumisele eri tüüpi kavasid: kaitsekorralduskava, liigi kaitse tegevuskava, elupaiga tegevuskava. 
Vastusevariant "pole asjakohane" kohaldub kaitstavatele objektidele, mille puhul on jõutud otsusele, et tegevuskava ei ole vajalik - ala kaitseks piisab õigusaktidest tulenevast kaitsekorrast.
Juhul, kui kava(d) on selgelt vananenud, s.t need ei ole hinnataval perioodil ja/või hindamise hetkel olnud kasutatavad kaitsekorralduse planeerimiseks, tuleb valida vastus "ei". Ajakohasuse määramisel ei ole siinkohal ette antud kava kindlat vanust, vaid vastamisel tuleks kasutada enda hinnangut, kas kava sisu (s.h eesmärgid ja meetmed) on olnud üldjoontes jätkuvalt asjakohane. Juhul, kui kava on üldjoontes asjakohane, kuid vahepeal on toimunud kaitse-eeskirja muutmine, selguvad kitsaskohad järgnevate küsimustega ning kava ei pea siin küsimuses aegunuks lugema.
Kui on olemas KKK, mis katab osa ala territooriumist ja/või kaitseväärtustest (nt jääb kaitseala osaliselt loodusala territooriumile, millele on koostatud KKK), tuleb valida osalise katvuse vastusevariant.
Koostamisetapis olevaid kaitsekorralduskavasid mitte arvestada.
Liigikaitsekavasid ja elupaiga tegevuskavasid sisaldava vastusevariandi valimisel võib lähtuda EELISes sisalduvatest seostest. Küsimuses soovitakse eelkõige selgitada alapõhise tegevuskava olemasolu ning täiendavate kavade välja toomine tulemust otseselt ei mõjuta.</t>
  </si>
  <si>
    <t>Hindamisskaala/ valikvastus</t>
  </si>
  <si>
    <t>kava(d), EELIS</t>
  </si>
  <si>
    <r>
      <t>Ei (</t>
    </r>
    <r>
      <rPr>
        <u/>
        <sz val="10"/>
        <color theme="1"/>
        <rFont val="Arial"/>
        <family val="2"/>
      </rPr>
      <t>jäta küsimused 2, 4-8, 12, 13 vahele</t>
    </r>
    <r>
      <rPr>
        <sz val="10"/>
        <color theme="1"/>
        <rFont val="Arial"/>
        <family val="2"/>
      </rPr>
      <t>)</t>
    </r>
  </si>
  <si>
    <t>Alapõhine kaitsekorralduskava puudub, kuid ala olulisematele kaitseväärtustele kohalduvad liigikaitsekava(d) ja/või elupaiga tegevuskava(d)</t>
  </si>
  <si>
    <t xml:space="preserve">Jah, kuid alapõhine kaitsekorralduskava (lühikava või täiskava) katab vaid osa ala territooriumist </t>
  </si>
  <si>
    <t>Jah, lihtsustatud alapõhine kaitsekorralduskava (lühikava)</t>
  </si>
  <si>
    <t>Jah, lihtsustatud alapõhine kaitsekorralduskava (lühikava), lisaks kohalduvad liigikaitsekava(d) ja/või elupaiga tegevuskava(d)</t>
  </si>
  <si>
    <t>Jah, alapõhine kaitsekorralduskava</t>
  </si>
  <si>
    <t>Jah, alapõhine kaitsekorralduskava, lisaks kohalduvad liigikaitsekava(d) ja/või elupaiga tegevuskava(d)</t>
  </si>
  <si>
    <r>
      <t xml:space="preserve">Pole asjakohane (alal pole kava vajalik; </t>
    </r>
    <r>
      <rPr>
        <u/>
        <sz val="10"/>
        <color theme="1"/>
        <rFont val="Arial"/>
        <family val="2"/>
      </rPr>
      <t>jäta küsimused 2, 4-8, 12, 13 vahele</t>
    </r>
    <r>
      <rPr>
        <sz val="10"/>
        <color theme="1"/>
        <rFont val="Arial"/>
        <family val="2"/>
      </rPr>
      <t>)</t>
    </r>
  </si>
  <si>
    <t>ei kohaldu</t>
  </si>
  <si>
    <t>planeerimine</t>
  </si>
  <si>
    <t>seisund</t>
  </si>
  <si>
    <t>1.a</t>
  </si>
  <si>
    <r>
      <t xml:space="preserve">Kas kõikide ala kaitseväärtuseks olevate </t>
    </r>
    <r>
      <rPr>
        <b/>
        <u/>
        <sz val="10"/>
        <color theme="1"/>
        <rFont val="Arial"/>
        <family val="2"/>
      </rPr>
      <t>liikide</t>
    </r>
    <r>
      <rPr>
        <b/>
        <sz val="10"/>
        <color theme="1"/>
        <rFont val="Arial"/>
        <family val="2"/>
      </rPr>
      <t xml:space="preserve"> esinemise/seisundi info oli kaitsekorraldusperioodi alguses kindlaks tehtud?</t>
    </r>
  </si>
  <si>
    <r>
      <t xml:space="preserve">Kaitseväärtustele eesmärkide (ehk soovitud saavutatava seisundi) määramiseks ja eesmärkide suunas liikumise hindamiseks on vajalik selge ülevaade kõigi kaitseväärtuste seisundist kaitstaval loodusobjektil.
Kaitseväärtusena mõeldakse siinkohal (ja edaspidi) </t>
    </r>
    <r>
      <rPr>
        <u/>
        <sz val="10"/>
        <color theme="1"/>
        <rFont val="Arial"/>
        <family val="2"/>
      </rPr>
      <t>kehtivas kaitse-eeskirjas nimetatud kaitstavat loodusväärtust</t>
    </r>
    <r>
      <rPr>
        <sz val="10"/>
        <color theme="1"/>
        <rFont val="Arial"/>
        <family val="2"/>
      </rPr>
      <t xml:space="preserve">.
Vastamisel arvestada, kas info liigi olukorrast alal oli teada ja n-ö lähteolukorrana esitatud. Antud küsimuses ei ole oluline keskenduda esitatud andmete mõõdetavusele ja kvaliteedile, s.t. piisavaks saab lugeda nt ka info, et liiki ei esine või liik esineb. Piisavaks ei saa lugeda nt infot, et "käesoleval perioodil teave puudub, kuid varasemast on olnud teada liigi pesitsemine", sest see ei anna selgust liigi esinemise osas käsitletaval perioodil.
</t>
    </r>
    <r>
      <rPr>
        <u/>
        <sz val="10"/>
        <color theme="1"/>
        <rFont val="Arial"/>
        <family val="2"/>
      </rPr>
      <t>Kaitsekorraldusperioodi algusena saab esmakordsel hindamisel arvestada kaitsekorralduskava koostamise või uuendamise aega</t>
    </r>
    <r>
      <rPr>
        <sz val="10"/>
        <color theme="1"/>
        <rFont val="Arial"/>
        <family val="2"/>
      </rPr>
      <t>,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</si>
  <si>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t>kava(d), EELIS, KESE, inventuurid</t>
  </si>
  <si>
    <r>
      <t>Seisund ei olnud määratud (</t>
    </r>
    <r>
      <rPr>
        <u/>
        <sz val="10"/>
        <color theme="1"/>
        <rFont val="Arial"/>
        <family val="2"/>
      </rPr>
      <t>jäta 1.c vahele</t>
    </r>
    <r>
      <rPr>
        <sz val="10"/>
        <color theme="1"/>
        <rFont val="Arial"/>
        <family val="2"/>
      </rPr>
      <t>)</t>
    </r>
  </si>
  <si>
    <t>Seisund oli määratud &lt;50% väärtustest</t>
  </si>
  <si>
    <t>Seisund oli määratud 50-90% väärtustest</t>
  </si>
  <si>
    <t>Seisund oli määratud ≥90% väärtustele</t>
  </si>
  <si>
    <t>1.b</t>
  </si>
  <si>
    <r>
      <t xml:space="preserve">Kas kõikide ala kaitseväärtuseks (kaitse-eesmärgiks) olevate </t>
    </r>
    <r>
      <rPr>
        <b/>
        <u/>
        <sz val="10"/>
        <color theme="1"/>
        <rFont val="Arial"/>
        <family val="2"/>
      </rPr>
      <t>elupaikade</t>
    </r>
    <r>
      <rPr>
        <b/>
        <sz val="10"/>
        <color theme="1"/>
        <rFont val="Arial"/>
        <family val="2"/>
      </rPr>
      <t xml:space="preserve"> seisund oli kaitsekorraldusperioodi alguses kindlaks tehtud?</t>
    </r>
  </si>
  <si>
    <r>
      <t xml:space="preserve">Kaitseväärtustele kaitse-eesmärkide määramiseks ja eesmärkide suunas liikumise hindamiseks on vajalik selge ülevaade kõigi kaitseväärtuste seisundist. Kaitse-eesmärgina/kaitseväärtusena mõeldakse siinkohal </t>
    </r>
    <r>
      <rPr>
        <u/>
        <sz val="10"/>
        <color theme="1"/>
        <rFont val="Arial"/>
        <family val="2"/>
      </rPr>
      <t>kehtivas kaitse-eeskirjas nimetatud kaitstavat loodusväärtust</t>
    </r>
    <r>
      <rPr>
        <sz val="10"/>
        <color theme="1"/>
        <rFont val="Arial"/>
        <family val="2"/>
      </rPr>
      <t xml:space="preserve">. Antud küsimuse kontekstis võib keskenduda üksnes </t>
    </r>
    <r>
      <rPr>
        <u/>
        <sz val="10"/>
        <color theme="1"/>
        <rFont val="Arial"/>
        <family val="2"/>
      </rPr>
      <t>loodusdirektiivi elupaigatüüpidele</t>
    </r>
    <r>
      <rPr>
        <sz val="10"/>
        <color theme="1"/>
        <rFont val="Arial"/>
        <family val="2"/>
      </rPr>
      <t>, s.t elupaikadele, mille tunnused, piirid ja seisund on üheselt määratletavad. Arvestama ei pea üldisemaid määratlusi (nt "metsakooslused (metsaökosüsteemid)")
Vastamisel arvestada, kas info iga elupaigatüübi olukorrast alal oli teada ja n-ö lähteolukorrana esitatud. Antud küsimuses ei ole oluline keskenduda esitatud andmete kvaliteedile - piisavaks saab lugeda nt ka info, kui esitatud on elupaigatüübi pindalaline ulatus, kuid esinduslikkus/seisund on määramata. 
Kaitsekorraldusperioodi algusena saab esmakordsel hindamisel arvestada kaitsekorralduskava koostamise või uuendamise aega,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</si>
  <si>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r>
      <t>Seisundit ei olnud määratud  (</t>
    </r>
    <r>
      <rPr>
        <u/>
        <sz val="10"/>
        <color theme="1"/>
        <rFont val="Arial"/>
        <family val="2"/>
      </rPr>
      <t>jäta 1.d vahele</t>
    </r>
    <r>
      <rPr>
        <sz val="10"/>
        <color theme="1"/>
        <rFont val="Arial"/>
        <family val="2"/>
      </rPr>
      <t>)</t>
    </r>
  </si>
  <si>
    <t>1.c.</t>
  </si>
  <si>
    <t>Milline on liikide seisundi 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</si>
  <si>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liigid, mille seisundit ei ole üldse määratud (liigituvad puudulike alusandmetega gruppi).</t>
  </si>
  <si>
    <t>Halb - puudub informatsioon alusandmete kohta ja/või seisund on esitatud üldise/täpsustamata hinnanguna</t>
  </si>
  <si>
    <t>Kesine - &lt;50% seisundi hinnangutest põhineb ajakohastel kvantitatiivsetel andmetel (uuringud, seired, inventuurid, vaatlused)</t>
  </si>
  <si>
    <t>Hea - 50-90% seisundi hinnangutest põhineb ajakohastel kvantitatiivsetel andmetel (uuringud, seired, inventuurid, vaatlused)</t>
  </si>
  <si>
    <t>Väga hea - ≥90% seisundi hinnangutest põhineb ajakohastel kvantitatiivsetel andmetel (uuringud, seired, inventuurid, vaatlused)</t>
  </si>
  <si>
    <t>Pole asjakohane</t>
  </si>
  <si>
    <t>1.d.</t>
  </si>
  <si>
    <t>Milline on elupaikade seisundiandmete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</si>
  <si>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elupaigad, mille seisundit ei ole üldse määratud (liigituvad puudulike alusandmetega gruppi).</t>
  </si>
  <si>
    <t>Halb - puudub informatsioon alusandmete kohta ja/või seisund on esitatud üldise/umbmäärase hinnanguna</t>
  </si>
  <si>
    <t>2.a</t>
  </si>
  <si>
    <t xml:space="preserve">Kas eelmisel kaitsekorraldusperioodil/selle kaitsekorraldusperioodi algul tuvastati andmelünki, mis takistasid lähteolukorra (kaitseväärtuste seisundi) kindlaks määramist? </t>
  </si>
  <si>
    <t xml:space="preserve">Selleks, et tagada, et iga uus kaitsekorraldusperiood täiendaks/parandaks eelmist, on oluline välja selgitada puudused, mis tekivad lähteolukorra hindamisel ja näha ette tegevused oluliste andmelünkade täitmiseks. 
Küsimusele vastates peab välja tooma, kas andmelünkadele on kavas aktiivselt tähelepanu juhitud.  </t>
  </si>
  <si>
    <t>Andmelünkasid ei ole analüüsitud/kavas(-des) kajastatud</t>
  </si>
  <si>
    <t>On tuvastatud mõned andmelüngad, kuid nende lünkade täitmise vajadus ei ole selgelt välja toodud.</t>
  </si>
  <si>
    <t>Andmelüngad on põhjalikult kaardistatud ning andmelünkade täitmiseks vajalikud tegevused on selgelt välja toodud.</t>
  </si>
  <si>
    <r>
      <t>Olulised andmelüngad puuduvad/ei ole asjakohane (</t>
    </r>
    <r>
      <rPr>
        <u/>
        <sz val="10"/>
        <color theme="1"/>
        <rFont val="Arial"/>
        <family val="2"/>
      </rPr>
      <t>jäta 2.b vahele</t>
    </r>
    <r>
      <rPr>
        <sz val="10"/>
        <color theme="1"/>
        <rFont val="Arial"/>
        <family val="2"/>
      </rPr>
      <t>)</t>
    </r>
  </si>
  <si>
    <t>2.b</t>
  </si>
  <si>
    <t>Kas tuvastatud andmelüngad on kaitsekorraldusperioodil täidetud?</t>
  </si>
  <si>
    <t>Küsimuses 2.a välja toodud andmelünkade osas, tuleb antud vastuses anda ülevaade sellest, kui suures ulatuses on tuvastatud andmelünki kaitsekorraldusperioodil likvideeritud.</t>
  </si>
  <si>
    <t>EELIS, KESE</t>
  </si>
  <si>
    <t>Tuvastatud andmelünki ei ole täidetud</t>
  </si>
  <si>
    <t>Vähem kui pooled andmelüngad (&lt;50%) on täidetud, kuid siiski on veel märkimisväärseid puuduseid alusandmetes.</t>
  </si>
  <si>
    <t>Pool või enam (50%-&lt;100%) tuvastatud andmelünki on täidetud.</t>
  </si>
  <si>
    <t>Kõik tuvastatud andmelüngad on täidetud.</t>
  </si>
  <si>
    <t>survetegurid</t>
  </si>
  <si>
    <t>3.a</t>
  </si>
  <si>
    <t>Kas ala kõigi kaitseväärtuste osas on survetegurid (otsesed negatiivsed mõjutegurid) tuvastatud?</t>
  </si>
  <si>
    <t>Survetegur on negatiivne mõjutegur, mis mõjutab kaitseväärtuse seisundit ja/või kaitse-eesmärkide saavutamist. Seetõttu on vajalik survetegurite kaardistamine ja nende mõju analüüsimine konkreetse asukoha tasemel. Survetegurid on näiteks maa- ja merekasutuse muutused, otsene liigi või elupaiga kahjustamine, kliimamuutused, reostus, võõrliigid jm. Juhul, kui on teada ja/või selgitatud, et kaitseväärtusel märkimist väärivad survetegurid puuduvad, ei ole see puuduseks, vaid sel juhul tuleb kaitseväärtust arvestada samaväärselt väärtustega, mille survetegurid on tuvastatud.</t>
  </si>
  <si>
    <t>Survetegurid on määratletud riigi tasemel (nt liigi ohustatuse hindamisel, liigi või elupaiga tegevuskavas vm), alapõhiseid survetegureid ei ole kaardistatud/hinnatud.</t>
  </si>
  <si>
    <t>Survetegurid on kindlaks määratud vähem kui pooltele (&lt;50%) kaitseväärtustele</t>
  </si>
  <si>
    <t>Survetegurid on kindlaks määratud pooltele või enamale (50% - &lt;100%) kaitseväärtustest</t>
  </si>
  <si>
    <t>Survetegurid on kindlaks määratud kõigile (100%) kaitseväärtustele (kui asjakohane)</t>
  </si>
  <si>
    <t>3.b</t>
  </si>
  <si>
    <t>Kas iga (küsimuses 3.a käsitletud) surveteguri olulisus ja ulatus on kindlaks määratud?</t>
  </si>
  <si>
    <t>Surveteguri olulisust hinnatakse kaitse-eesmärkide ohustamise vaates - nt kas survetegur mõjutab kaitseväärtust vaid veidi või võib kaasa tuua väärtuse hävinemise. Selleks tuleb survetegurite olulisust hinnata kaitseväärtuste kaupa. Surveteguri ulatust hinnatakse selle ruumilise ulatuse ja/või intensiivsuse osas.
Kuni ühtlustatud survetegurite määratlemise metoodika välja töötamiseni saab piisavaks lugeda üldiseid kirjeldavaid hinnanguid. Surveteguri olulisuse ja ulatuse saab määratuks lugeda, kui on üldjoontes teada kus asukohas ja/või milliseid kaitseväärtuseid survetegur mõjutab (nt kas survetegur on oluline kogu kaitsealal või ainult mingis kindlas piirkonnas) ning selle põhimõtteline tähtsus ala või väärtuse kontekstis (nt kas sellega tegelemine on primaarne).</t>
  </si>
  <si>
    <t>Survetegurite ulatus ja olulisus ei ole kindlaks määratud</t>
  </si>
  <si>
    <t>Survetegurite ulatus ja olulisus on kindlaks määratud vähem kui poolte (&lt;50%) kaitseväärtuste puhul ja/või vaid mõne surveteguri puhul</t>
  </si>
  <si>
    <t>Survetegurite ulatus ja olulisus on kindlaks määratud poolte või enama (50% - &lt;100%) kaitseväärtuste ja survetegurite puhul</t>
  </si>
  <si>
    <t>Survetegurite ulatus ja olulisus on kindlaks määratud kõikide kaitseväärtuste ja survetegurite puhul</t>
  </si>
  <si>
    <t>3.c</t>
  </si>
  <si>
    <t>Nimeta ala kõige olulisemad survetegurid?</t>
  </si>
  <si>
    <r>
      <t xml:space="preserve">Nimeta ala viis kõige olulisemat survetegurit (kui alal on vähem kui viis olulist survetegurit, nimeta need kõik). Vali surveteguri tüüp rippmenüüst ning vajadusel täpsusta valikut selgituste lahtris. </t>
    </r>
    <r>
      <rPr>
        <u/>
        <sz val="10"/>
        <color theme="1"/>
        <rFont val="Arial"/>
        <family val="2"/>
      </rPr>
      <t>Surveteguri kategooriate selgitus on mõistete lehel</t>
    </r>
    <r>
      <rPr>
        <sz val="10"/>
        <color theme="1"/>
        <rFont val="Arial"/>
        <family val="2"/>
      </rPr>
      <t>. Valides vastuseks "muu", lisa selgitus selgituste lahtris. 
Kui kavas ei ole survetegurite olulisust määratud või see ei võimalda valiku tegemist, kasuta enda hinnangut. Hinnangu andmisel võib vajadusel/asjakohasusel nimetada ka survetegureid, mida kavas ei ole nimetatud, kuid mis on vastaja teadmiste kohaselt või muude andmeallikate põhjal oluliseks surveteguriks (nt on tegu uue surveteguriga). 
Vastamisel märkida andmeallika lahtrisse, kas kasutatud on kava, muud andmeallikat, eksperthinnangut vm. Kui survetegur ei ole kavas üldse nimetatud, märkida see info lisaks selgituste lahtrisse.
Valiku tegemisel võta arvesse nii surveteguri mõju üksikutele kaitseväärtustele (nt kas surveteguri jätkuv mõju võib viia mingi populatsiooni hääbumiseni või elupaigatüübi degradeerumiseni) kui ulatust (nt kas survetegur mõjutab paljusid kaitseväärtusi).</t>
    </r>
  </si>
  <si>
    <t>Valikvastus</t>
  </si>
  <si>
    <t xml:space="preserve">põllumajandus; rohumaade hülgamine; metsandus; kuivendamine; kaevandamine; energiatootmine; transport; ehitustegevus ja asustus; elusorganismide kasutus; militaartegevus ja häiringud inimtegevusest; reostus; invasiivsed ja võõrliigid; veerežiimi muutmine; looduslikud protsessid; loodusõnnetused; kliimamuutused; muu </t>
  </si>
  <si>
    <t>Kas arvesse on võetud ka väljastpoolt kaitseala tulenevaid survetegureid?</t>
  </si>
  <si>
    <t>Survetegurid ei eksisteeri vaid kaitseala piirides. Paljud survetegurid pärinevad väljastpoolt kaitseala ja võivad sellele vaatamata avaldada märkimisväärset survet alale. Seepärast on oluline nende survetegurite kindlaks määramine ja kaitseväärtustele avaldatava mõju analüüsimine.</t>
  </si>
  <si>
    <t>Kaitseala piiridest väljaspoolt tulenevaid survetegureid ei ole arvestatud või puudub vastav informatsioon</t>
  </si>
  <si>
    <t>Kaitseala piiridest väljaspoolt tulenevaid survetegureid on arvestatud osaliselt.</t>
  </si>
  <si>
    <t>Kaitseala piiridest väljaspoolt tulenevaid survetegureid on arvestatud ammendavalt või on selgitatud, et selliseid survetegureid ei esine.</t>
  </si>
  <si>
    <t>eesmärgid</t>
  </si>
  <si>
    <t>5.a</t>
  </si>
  <si>
    <t>Kas ala elurikkusega seotud kaitseväärtustele on seatud kaitse-eesmärgid?</t>
  </si>
  <si>
    <t>Igale ala (kaitse-eeskirjas nimetatud) kaitseväärtusele on oluline seada konkreetne kaitse-eesmärk, et  jälgida kaitsekorralduse tulemuslikkust ning töötada välja vajalikud meetmed. Seejuures võtavad alapõhised kaitse-eesmärgid kohalikke tegureid ja lähteolukorda tõenäoliselt paremini arvesse kui riiklikud eesmärgid. 
Antud küsimuses tuleb anda ülevaade, kas ala elurikkusega seotud kaitseväärtustele (liigid, elupaigad/kooslused) on kaitsekorralduskavas või tegevuskavades seatud täpsustatud eesmärgid. Siinkohal ei ole oluline keskenduda eesmärkide mõõdetavusele ja kvaliteedile - seda käsitleb eraldi küsimus. 
Muid kaitseväärtusi (nt kultuuripärand, maastikuvormid) on käsitletud eraldi küsimuses.</t>
  </si>
  <si>
    <t>Jah/Ei</t>
  </si>
  <si>
    <r>
      <t>Kaitse-eesmärke ei ole seatud (</t>
    </r>
    <r>
      <rPr>
        <u/>
        <sz val="10"/>
        <color theme="1"/>
        <rFont val="Arial"/>
        <family val="2"/>
      </rPr>
      <t>jäta 5.b vahele</t>
    </r>
    <r>
      <rPr>
        <sz val="10"/>
        <color theme="1"/>
        <rFont val="Arial"/>
        <family val="2"/>
      </rPr>
      <t>)</t>
    </r>
  </si>
  <si>
    <r>
      <t>Riiklikud või piirkondlikud kaitse-eesmärgid on seatud (nt liigi või elupaiga tegevuskavas vm), kuid ala-spetsiifilisi eesmärke ei ole määratud. (</t>
    </r>
    <r>
      <rPr>
        <u/>
        <sz val="10"/>
        <color theme="1"/>
        <rFont val="Arial"/>
        <family val="2"/>
      </rPr>
      <t>jäta 5.b vahele</t>
    </r>
    <r>
      <rPr>
        <sz val="10"/>
        <color theme="1"/>
        <rFont val="Arial"/>
        <family val="2"/>
      </rPr>
      <t>)</t>
    </r>
  </si>
  <si>
    <t>Ala-spetsiifilised kaitse-eesmärgid on seatud vähem kui pooltele (&lt;50%) kaitseväärtusele</t>
  </si>
  <si>
    <t>Ala-spetsiifilised kaitse-eesmärgid on seatud pooltele või enamale (50% - &lt;100%) kaitseväärtustest</t>
  </si>
  <si>
    <t>Ala-spetsiifilised kaitse-eesmärgid on seatud kõikidele kaitseväärtustele</t>
  </si>
  <si>
    <t>5.b.</t>
  </si>
  <si>
    <t>Kas kaitseväärtuste kaitse-eesmärgid määratlevad elupaikade ja liikide soovitava seisundi?</t>
  </si>
  <si>
    <t>Selleks, et hinnata, kui tõhusalt ala valitsetakse, on oluline jälgida kaitse-eesmärkide saavutamise suunas tehtavaid edusamme. Edusammude jälgimiseks on oluline, et kaitseväärtuste kaitse-eesmärgid oleksid "SMART", s.t saavutatavad, konkreetsed (s.h ajaliselt), üheselt mõistetavad ja objektiivselt hinnatavad/mõõdetavad. Nt võib koosluse kaitse-eesmärk olla sõnastatud elupaigatüübi pindala ja seisundiklassiga.</t>
  </si>
  <si>
    <t>Kaitse-eesmärgid ei täpsusta elupaikade/liikide soovitavat seisundit</t>
  </si>
  <si>
    <t>Kaitse-eesmärkidega täpsustati elupaikade/liikide soovitavat seisundit, kuid kaitse-eesmärkide sihtväärtused ei ole kvantifitseeritud ega ajaliselt piiritletud. / Konkreetsed eesmärgid on vähem kui pooltel (&lt;50%) kaitseväärtustel.</t>
  </si>
  <si>
    <t>Kaitse-eesmärkidega täpsustati elupaikade/liikide soovitavat seisundit. Sihtväärtused on kas kvantifitseeritud või ajaliselt piiritletud. / Konkreetsed eesmärgid on pooltel või enamal (50% - &lt;100%) kaitseväärtustest.</t>
  </si>
  <si>
    <t>Kaitse-eesmärkidega täpsustati kõigi elupaikade/liikide soovitavat seisundit. Sihtväärtused on nii kvantifitseeritud kui ajaliselt piiritletud.</t>
  </si>
  <si>
    <t>5.c.</t>
  </si>
  <si>
    <t>Kas kaitse-eesmärgid on seatud ka muudele kaitseväärtustele kui otseselt elurikkust puudutavatele kaitseväärtustele?</t>
  </si>
  <si>
    <t>Kaitse-eesmärke võidakse seada ka väärtustele, mis ei ole nn loodusväärtused, nt sotsiaalsed, kultuurilised ja majanduslikud väärtused.
Küsimus on oluline eeskätt rahvusparkide ja maastikukaitsealadele, mille erinevatele kaitseväärtustele tuleks seada asjakohased kaitse-eesmärgid. Kui seda ei ole tehtud, tuleb valida vastusevariant "ei".</t>
  </si>
  <si>
    <t>Ei ole asjakohane (alal puuduvad vastavad kaitseväärtused)</t>
  </si>
  <si>
    <t>Ei</t>
  </si>
  <si>
    <t>Jah</t>
  </si>
  <si>
    <t>5.d.</t>
  </si>
  <si>
    <t>Kas kaitse-eesmärke on seatud ka sellistele hüvedele/väärtustele, mis ei ole määrusega ala kaitseväärtuseks seatud?</t>
  </si>
  <si>
    <t>Kaitsealade kaitsekorralduskavades võib kaitse-eesmärke seada ka  sellistele hüvedele või väärtustele, mida ei ole määrusega ala kaitseväärtuseks seatud.
Siin küsimuses arvestada ka neid kaitse-eesmärkidega liike või elupaiku, mille osas on kavas tehtud ettepanek kaitse-eeskirja lisamiseks, kuid vastav muudatus ei ole veel jõustunud.
Vastavad hüved/väärtused võib loetleda lisainfo lahtris.</t>
  </si>
  <si>
    <t>meetmed</t>
  </si>
  <si>
    <t>6.a.</t>
  </si>
  <si>
    <t>Kas kaitsealal on vaja aktiivseid kaitsekorralduslikke tegevusi (lisaks LKS alusel kohalduvale kaitsekorrale/piirangutele)?</t>
  </si>
  <si>
    <r>
      <t xml:space="preserve">Küsimuse eesmärk on selgitada, kas alal on vajalik n-ö aktiivsete kaitsekorralduslike tegevuste kavandamine ja rakendamine. Mõned kaitstavad loodusobjektid ei vaja aktiivset majandamist ning kaitse-eesmärkide tagamiseks võib piisata õigusaktidest tulenevast kaitsekorrast - nt jäetakse ala läbi rangete piirangute looduslikule arengule. Sellises olukorras ei ole kaitsekorralduslike meetmete ploki küsimustele vastamine vajalik.
Küsimus on suunatud ainult n-ö aktiivsetele kaitsemeetmetele. Aktiivseks majandamiseks on nt elupaikade taastamine, hooldus, probleemliigi tõrje, taristu rajamine jm. Aktiivseteks kaitsemeetmeteks ei loeta siinkohal ala kaitsekorda/kaitse-eeskirjast tulenevaid piiranguid, õigusaktidest tulenevaid kooskõlastus- ja loakohustusi, kaitsekorra muutmist, kavade koostamist, tulemuslikkuse hindamist jm sarnast. Samuti ei pea siin küsimuses arvestama seiret, inventuure, uuringuid.
tegevuste vajadust tuleb siinkohal käsitleda </t>
    </r>
    <r>
      <rPr>
        <u/>
        <sz val="10"/>
        <color theme="1"/>
        <rFont val="Arial"/>
        <family val="2"/>
      </rPr>
      <t>hinnatava perioodi vaates</t>
    </r>
    <r>
      <rPr>
        <sz val="10"/>
        <color theme="1"/>
        <rFont val="Arial"/>
        <family val="2"/>
      </rPr>
      <t xml:space="preserve"> (alates eelmisest hindamisest; esmakordsel hindamisel KKK algus või 10/12 a). "Jah" vastus tuleb valida ka juhul, kui hindaja tänaste teadmiste põhjal ei ole täiendav sekkumine vajalik, kuid alal on hinnataval perioodil olnud kava, milles sisaldub tegevuskava (tööplaan). See viitab, et hindamisperioodi algul on aktiivsete meetmete rakendamine vajalikuks loetud.
Samuti tuleb "jah" vastus valida juhul, kui alal ei ole aktiivseid meetmeid planeeritud, kuid hindaja teadmiste põhjal on täiendav sekkumine siiski vajalik (nt on ala kaitseväärtuste hulgas hooldust vajavad pärandniidud).</t>
    </r>
  </si>
  <si>
    <t>Jah, täiendav sekkumine on vajalik - jätka meetmete ploki küsimuste täitmisega</t>
  </si>
  <si>
    <r>
      <t xml:space="preserve">Ei, täiendav sekkumine ei ole vajalik - esita selgitused, </t>
    </r>
    <r>
      <rPr>
        <u/>
        <sz val="10"/>
        <color theme="1"/>
        <rFont val="Arial"/>
        <family val="2"/>
      </rPr>
      <t>jäta meetmete ploki küsimused (6) vahele</t>
    </r>
  </si>
  <si>
    <t>6.b.</t>
  </si>
  <si>
    <t>Kas kõikide kaitseala kaitse-eesmärkide saavutamiseks kavandati vajalikud meetmed/tegevused?</t>
  </si>
  <si>
    <t>Iga püstitatud kaitse-eesmärgi (nii liigid, elupaigad kui muud kaitseväärtused) puhul tuleks kavandada tegevused nende eesmärkide saavutamiseks, v.a kui aktiivseid meetmeid pole vaja (nt jäetakse kooslus looduslikule arengule).
Tegevused peavad olema konkreetsed, mõõdetatavad, saavutatavad, asjakohased ja ajaliselt piiritletud (nn SMART meetmed). Meetmed/tegevused võib seega lugeda SMART meetmeteks, kui need on kantud tööplaani ning nende ellu viimise põhimõtted, asukoht, aeg ja maksumus on määratletud. 
Kavas võivad kaitseväärtuste juures olla nimetatud ka sellised üldisemad meetmed, mida ei ole täpsemate tegevustena tööplaani kantud (nt "järelevalve", "optimaalse külastuskoormuse hoidmine"). Sellisel juhul arvestada vastamisel, et meede on seatud, kuid see ei ole SMART.
Kui kaitse-eesmärgi puhul ei ole tuvastatud selle saavutamist takistavaid survetegureid, andmelünkasid vm lahendamist vajavaid probleeme, ei ole tegevuse puudumine antud küsimuse kontekstis puudus ning vastavat kaitse-eesmärki ei pea siinkohal arvestama. S.t. kui osadele kaitseväärtustele on tegevused määratud ja teiste puhul on välja toodud, et tegevusi pole vaja, tuleb valida vastusevariant, et kõigile asjakohastele kaitse-eesmärkidele on meetmed seatud.
Kaitse-eesmärgid, mille puhul saavutamist toetavad meetmed puuduvad, nimeta selgituste lahtris.</t>
  </si>
  <si>
    <r>
      <t xml:space="preserve">Meetmeid ei ole seatud </t>
    </r>
    <r>
      <rPr>
        <u/>
        <sz val="10"/>
        <color theme="1"/>
        <rFont val="Arial"/>
        <family val="2"/>
      </rPr>
      <t>(jäta 6.c, 6.d vahele</t>
    </r>
    <r>
      <rPr>
        <sz val="10"/>
        <color theme="1"/>
        <rFont val="Arial"/>
        <family val="2"/>
      </rPr>
      <t>)</t>
    </r>
  </si>
  <si>
    <t>Meetmed on seatud mõnedele (&lt;100%) asjakohastele kaitse-eesmärkidele.</t>
  </si>
  <si>
    <t>Kaitsekorralduslikud meetmed on seatud kõikidele asjakohastele kaitse-eesmärkidele, kuid kõik meetmed ei ole SMART</t>
  </si>
  <si>
    <t>Kaitsekorralduslikud meetmed on seatud kõikidele asjakohastele kaitse-eesmärkidele. Kõik meetmed on SMART.</t>
  </si>
  <si>
    <t>6.c</t>
  </si>
  <si>
    <t>Kas määratud meetmed näevad ette tegevusi väljaspool kaitseala piire?</t>
  </si>
  <si>
    <t>Käesolevas küsimuses keskendutakse tegevustele, mis toimuvad väljaspool kaitseala piire. Vastaja peab kirjeldama, kas kasutusele on võetud meetmeid kaitseala piiridest väljaspool.
Sellisted tegevused võivad olla nt väljaspool kaitseala piire asuvate maaparandussüsteemide mõju vähendamisega, juurdepääsuteede korrastamisega elupaikade hoolduse võimaldamiseks vm. Selliseks tegevuseks võib lugeda ka kaitseala piiride laiendamise.
Kui on põhjendatult selge, et meetmed väljaspool kaitseala ei ole vajalikud (nt on kõik olulisemad survetegurid kaitseala sisesed ja ümbritsevalt alalt olulist koormust tule), vali "ei kohaldu".
Kui pole selge, kas olulised survetegurid paiknevad ja/või ette nähtud meetmed kohalduvad ka väljaspool kaitseala, vali "info puudub".
"Ei" saab valida juhul, kui piiriüleseid tegevusi pole ette nähtud, kuid hindajal on teavet, et need on tegelikult vajalikud. Selliseks olukorraks saab näiteks lugeda ka juhu, kus kaitsealast väljaspool asub liigi elupaik, mille lisamine kaitseala hulka võimaldaks populatsioonil paremini säilida, kuid kaitseala laiendamist ei ole tegevusena ette nähtud.</t>
  </si>
  <si>
    <t>Ei ole asjakohane (teadaolevalt puudub vajadus tegevusteks väljaspool piire)</t>
  </si>
  <si>
    <t>Info puudub/ei oska vastata (tegevuskavas ja hindajal puudub teave tegevuste ulatuse ja/või piiriüleste tegevuste vajaduse kohta)</t>
  </si>
  <si>
    <t>Ei (teadaolevalt on vajadus tegevusteks väljaspool piire, kuid neid ei ole kavandatud)</t>
  </si>
  <si>
    <t>6.d</t>
  </si>
  <si>
    <t>Kas tegevused käsitlesid kõiki kaitsealal tuvastatud ja kaitseväärtusi mõjutavaid survetegureid?</t>
  </si>
  <si>
    <t xml:space="preserve">Kõigi küsimuses 3 käsitletud peamiste surveteguritega tegelemiseks tuleb vastavalt vajadusele välja töötada vastavad meetmed. </t>
  </si>
  <si>
    <t>Survetegurid ja meetmed ei ole selgelt seotud./Meetmed ei ole seotud peamiste surveteguritega</t>
  </si>
  <si>
    <t>Vähem kui pooltel (&lt;50%) peamistel surveteguritel on vastav meede</t>
  </si>
  <si>
    <t>Pooltel või enamal (50% - &lt;100%) peamistest surveteguritest on vastav meede</t>
  </si>
  <si>
    <t>Kõikidel peamistel surveteguritel on vastav meede.</t>
  </si>
  <si>
    <t>rakendamine</t>
  </si>
  <si>
    <t>sisendid</t>
  </si>
  <si>
    <t>Kas saab välja tuua muid puudujääke ala kaitsekorraldusega seotud teadmistes/alusinfos (peale seisundiandmete puudujääkide, mida on käsitletud küsimuses 2)?</t>
  </si>
  <si>
    <r>
      <t xml:space="preserve">Puudujäägid teadmistes/olemasolevas alusinfos võivad piirata ala tulemuslikku majandamist, takistades muuhulgas meetmete väljatöötamist ja rakendamist konkreetsete survetegurite osas või takistades meetmete/majandamise tõhususe hindamist.
Nt võivad olla vajalikud täiendavad teadmised parimate praktikate kohta elupaikade taastamisel ja hooldamisel (erinevate tegevuste mõju), konkreetsete liikide elupaigavajaduste kohta, survetegurite mõju kohta, puudulikud andmed meetmete ellu viimise seisu või nende tõhususe kohta jm. </t>
    </r>
    <r>
      <rPr>
        <u/>
        <sz val="10"/>
        <color theme="1"/>
        <rFont val="Arial"/>
        <family val="2"/>
      </rPr>
      <t>Siinkohal ei tule arvestada kaitseväärtuste seisundiandmete puudulikkust, mille kohta on küsimus 2.</t>
    </r>
    <r>
      <rPr>
        <sz val="10"/>
        <color theme="1"/>
        <rFont val="Arial"/>
        <family val="2"/>
      </rPr>
      <t xml:space="preserve">
Küsimusele vastamisel võib arvestada nii neid puudujääke, mis on kirjeldatud kaitsekorralduskavas ja mida teadaolevalt ei ole seni kaetud, kui ka neid, mis on tekkinud kaitsekorralduslike meetmete rakendamise käigus vm seotud protsessis. Vastavalt lisada selgitus andmeallika lahtrisse.
Vastates küsimusele "jah", nimeta selgituste lahtris, mis need puudjääägid on.  </t>
    </r>
  </si>
  <si>
    <t>Ei, kaitsekorraldusperioodil ei ole selgunud olulisi puudujääke teadmistes</t>
  </si>
  <si>
    <r>
      <t xml:space="preserve">Jah, välja saab tuua puudujääke ala kaitsekorraldusega seotud teadmistes. </t>
    </r>
    <r>
      <rPr>
        <u/>
        <sz val="10"/>
        <color theme="1"/>
        <rFont val="Arial"/>
        <family val="2"/>
      </rPr>
      <t>(Nimeta need puudused selgituste lahtris</t>
    </r>
    <r>
      <rPr>
        <sz val="10"/>
        <color theme="1"/>
        <rFont val="Arial"/>
        <family val="2"/>
      </rPr>
      <t>).</t>
    </r>
  </si>
  <si>
    <t>8.a</t>
  </si>
  <si>
    <t>Kas teostatud seire, inventuurid ja/või uuringud annavad piisava teabe, et hinnata ellu viidud tegevuste edukust ja kaitse-eesmärkide saavutamist või nende suunas liikumist?</t>
  </si>
  <si>
    <t xml:space="preserve">Kaitsekorralduse tulemuslikkuse hindamiseks on vaja jälgida tegevuste ellu viimist ja nende tulemusi, kaitseväärtuste seisundit ja/või muutusi survetegurites. Antud küsimuses soovitakse teada, kas seiretest, inventuuridest ja uuringutest koondatav info annab piisava info, et hinnata seatud kaitse-eesmärkide suunas liikumist/saavutamist ja nende saavutamiseks vajalike tegevuste tulemuslikkust. 
Küsimusele vastamisel saab asjakohasusel lähtuda kava tulemuslikkuse hindamise tabelis ette nähtud hindamismeetodist/andmete kogumise viisist, hindamissammust ja/või tegevusplaanis ette nähtud seirest/inventuuridest/uuringutest. Kui tulemuslikkuse hindamiseks vajalikud seired, uuringud ja inventuurid on teostatud, saab eeldatavalt vastata jaatavalt. 
Kui hindamine toimub kaitsekorraldusperioodi keskel mitte lõpus/uue alguses, saab aluseks võtta, kas piisav info on olemas ja/või teadaolevalt planeeritud koguda seni ellu viidud tegevuste kohta ning kas kaitseväärtuste kohta ammendava info kogumine on piisava kindlusega ette nähtud. Kui seired ja inventuurid on ette nähtud perioodi lõpus ning nende teostamise ja sisu osas on hinnangu andmiseks liiga suured ebaselgused, saab valida vastusevariandi "ei ole võimalik vastata".
</t>
  </si>
  <si>
    <t>Küsimusele ei ole võimalik kaitsekorraldusperioodi antud etapis vastata (jäta 8.b vahele)</t>
  </si>
  <si>
    <t>Ei - teostatud ja/või planeeritud seire/inventuurid/uuringud ei ole piisavad, et hinnata, kas tegevused olid tulemuslikud/kaitse-eesmärgid on saavutatud</t>
  </si>
  <si>
    <t>Seire, inventuurid, uuringud võimaldab hinnata vähem kui poolte (&lt;50%) tegevuste tulemuslikkust/kaitse-eesmärkide saavutatust</t>
  </si>
  <si>
    <t>Seire võimaldab hinnata poolte või enama (50%-&lt;100%) tegevuste tulemuslikkust/kaitse-eesmärkide saavutatust</t>
  </si>
  <si>
    <r>
      <t>Jah - seire on piisav, et hinnata, kas kõik tegevused olid tulemuslikud/kaitse-eesmärgid on saavutatud  (j</t>
    </r>
    <r>
      <rPr>
        <u/>
        <sz val="10"/>
        <color theme="1"/>
        <rFont val="Arial"/>
        <family val="2"/>
      </rPr>
      <t>äta 8.b vahele</t>
    </r>
    <r>
      <rPr>
        <sz val="10"/>
        <color theme="1"/>
        <rFont val="Arial"/>
        <family val="2"/>
      </rPr>
      <t>)</t>
    </r>
  </si>
  <si>
    <t>8.b</t>
  </si>
  <si>
    <t>Kui vastasite küsimusele 8.a "ei", siis mida tuleb teha, et puudujääke lahendada?</t>
  </si>
  <si>
    <t>Vastaja peab kirjeldama, millised on lüngad kogutavates andmetes ja kuidas need takistavad kaitse-eesmärkide saavutamise jälgimist.</t>
  </si>
  <si>
    <t>kirjeldav</t>
  </si>
  <si>
    <t>Kas seire-, inventuuride ja/või uuringute tulemusi kasutati ala kaitsekorralduse kohandamiseks?</t>
  </si>
  <si>
    <t>Küsimusega hinnatakse, kas ala seire, inventuuride ja uuringute tulemused on integreeritud ala kaitse korraldamisesse. Seire ja hindamine, mis ei anna otsest sisendit kaitsekorralduslikesse otsustesse, ei panusta ala kaitse korralduse tulemuslikkuse suurenemisesse ja/või kaitse-eesmärkide saavutamisesse.</t>
  </si>
  <si>
    <t>Ei - seire tulemused ei ole olnud sisendiks kaitsekorralduslikele tegevustele</t>
  </si>
  <si>
    <t>Seiretulemusi on vähesel määral/üksikjuhtumitel kasutatud ala kaitse korralduse/meetmete kohandamiseks</t>
  </si>
  <si>
    <t>Seiretulemusi on suures osas kasutatud ala kaitse korralduse/meetmete kohandamiseks</t>
  </si>
  <si>
    <t>Jah - seiretulemusi kasutatakse regulaarselt, et kohandada ala kaitse korraldust/meetmeid</t>
  </si>
  <si>
    <t>protsess</t>
  </si>
  <si>
    <t>10.a</t>
  </si>
  <si>
    <t>Kas huvirühmasid kaasati kaitsekorralduse/tegevuskava planeerimise etapis?</t>
  </si>
  <si>
    <t xml:space="preserve">Soovitud kaitse-eesmärkide saavutamiseks on oluline teha koostööd erinevate huvirühmadega, kes mõjutavad kaitsealade majandamist ja/või kellel on teadmised kaitseala väärtustest. 
Antud küsimuse kontekstis mõeldakse huvirühmadena ühelt poolt neid osapooli, kes on otseselt seotud ala kaitse korraldamisega või oskavad valdkonnas pädevana sellesse sisuliselt panustada, nt: teadusasutused, mittetulundusühendused, RMK, omavalitsused. 
Samuti on huvirühmadeks mõjutatud/huvitattud osapooled, nt: maaomanikud, ettevõtjad, kohalik kogukond. 
Valides vastusevariandi, et osad asjakohased huvirühmad jäid kaasamata, tuleb vastavad osapooled märkida selgituste lahtrisse.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
Küsimusele vastamisel võivad abiks olla kavale lisatud arutelude protokollid.
Variant "ei ole asjakohane" valida juhul, kui ala ja selle kaitsekorralduse iseloom ei vaja sisulist huvirühmade kaasamist.
Lühikavade (lihtsustatud kaitsekorralduskavade) koostmisel, mille puhul kaasamine ei ole nõutav, tuleb valida vastusevariant "ei", kuna küsimuse eesmärk ei ole saada ülevaade menetlusprotsesside nõuete täitmisest, vaid kaitsekorralduslike otsuste tegemise sisulisest viisist. </t>
  </si>
  <si>
    <t>kava(d)</t>
  </si>
  <si>
    <t>Ei ole asjakohane</t>
  </si>
  <si>
    <t>Ei - huvirühmi ei kaasatud</t>
  </si>
  <si>
    <t>Jah, huvirühmi kaasati, kuid osad asjakohased huvirühmad jäid kaasamata ja/või kaasamine toimus pigem informeerimise mitte konsulteerimise tasemel</t>
  </si>
  <si>
    <t>Jah - huvirühmi kaasati</t>
  </si>
  <si>
    <t>10.b</t>
  </si>
  <si>
    <t>Kas kaitseala väärtuste ja kaitsekorralduse valdkonnas pädevaid huvirühmasid kaasati kaitsekorralduse/tegevuskava rakendamisse?</t>
  </si>
  <si>
    <t>Soovitud kaitse-eesmärkide saavutamiseks on oluline teha koostööd  huvirühmadega, kes mõjutavad kaitsealade majandamist ja/või kellel on teadmised kaitseala väärtustest. Antud küsimuse kontekstis mõeldakse huvirühmadena eelkõige neid osapooli, kes on otseselt seotud ala kaitse korraldamisega (sh RMK).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t>
  </si>
  <si>
    <t>Jah, huvirühmi kaasati, kuid mõned asjakohased huvirühmad jäid kaasamata ja/või kaasamine toimus pigem informeerimise mitte konsulteerimise tasemel</t>
  </si>
  <si>
    <t>11.a</t>
  </si>
  <si>
    <t>Kas konsultatsioonide või tegevuste koordineerimise käigus tekkis teadaolevaid konflikte (vastasseise)?</t>
  </si>
  <si>
    <t>Vastaja peaks hindama, kas konsultatsioonide või tegevuste koordineerimise käigus tekkisid osapooltega selgeid vastasseise: seati kahtluse alla kaitsekorralduslikud otsused või tegevused, tekkisid konflliktid seotuna maaomandi ja eraõigustega vm. Konfliktid võivad väljenduda toimunud kirjavahetustes, ajakirjanduses, sotsiaalmeedias, avalikel aruteludel vm. 
Vastus "jah" või "ei" ei panusta hindamissüsteemi, kuna konflikti olemasolu või puudumine ei kajasta kaitsekorralduse tõhusust. Juhul kui vastaja ei oma informatsiooni konfliktide esinemise või puudumise kohta (nt ei ole ekspert eelnevalt olnud kaasatud alaga seotud konsultatsioonide või tegevuste koordineerimisse ning informatsiooni ei ole võimalik eeltoodud allikate vahendusel leida) tuleb valida vastus "ei oska vastata".</t>
  </si>
  <si>
    <t>Ei oska vastata</t>
  </si>
  <si>
    <t>Jah - tekkis konflikte</t>
  </si>
  <si>
    <r>
      <t>Ei - konflikte ei tekkinud  (</t>
    </r>
    <r>
      <rPr>
        <u/>
        <sz val="10"/>
        <color theme="1"/>
        <rFont val="Arial"/>
        <family val="2"/>
      </rPr>
      <t>jäta 11.b vahele</t>
    </r>
    <r>
      <rPr>
        <sz val="10"/>
        <color theme="1"/>
        <rFont val="Arial"/>
        <family val="2"/>
      </rPr>
      <t>)</t>
    </r>
  </si>
  <si>
    <t>11.b</t>
  </si>
  <si>
    <t>Kui vastasite küsimusele 11.a "jah", nimetage olulisemad konfliktkohad</t>
  </si>
  <si>
    <t>Tõhus kaitsekorralduse strateegia võiks potentsiaalselt sisaldada ka mehhanisme konfliktide käsitlemise ja nende eduka lahendamise kohta. Palun nimetage kuni viis kõige olulisemat tekkinud konfliktidi (s.t konfliktid, mis võiksid ohustada kaitse-eesmärkide saavutamist), valides sobiv konflikti tüüp (vajadusel valige mitu). Täpsustage vastust selgituste lahtris ning asjakohasel/võimalusel kirjeldage konflikti lahendamise viisi. Kui konflikti tüüpi ei ole valikvastuste hulgas, siis valige "muu" ning täpsustage seda ja asjakohasel/võimalusel kirjeldage konflikti lahendamise viisi selgituste lahtris.</t>
  </si>
  <si>
    <t>kaitsekorra/piirangute rangus (nt piirangud metsamajandamisele, ehitustegevusele, liikumisele jm)</t>
  </si>
  <si>
    <t>meetmetega seotud mõjud (nt veerežiimi taastamise mõju maakasutusele, karjatamine)</t>
  </si>
  <si>
    <t>külastuskorraldus (sh külastajate poolt põhjustatud häiringud, nt müra, prügi)</t>
  </si>
  <si>
    <t>ebapiisav kompenseerimine (liiga madalad toetusmäärad vm)</t>
  </si>
  <si>
    <t>vastuseis alal lubatud või läbi viidud tegevustele (nt kriitika toimunud raietele)</t>
  </si>
  <si>
    <t>väljundid</t>
  </si>
  <si>
    <t>12.a</t>
  </si>
  <si>
    <t>Milline on kavas määratud pool-looduslike koosluste (niiduelupaikade) taastamistööde ellu viimise seis?</t>
  </si>
  <si>
    <r>
      <t>Siin küsimuses keskendutakse meetmetele, mis on seotud pool-looduslike koosluste (niiduelupaikade) taastamistöödega.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või pindalaline ulatus (sõltuvalt alusandmete täpsusest ja võimalustest)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</si>
  <si>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EELIS, RMK</t>
  </si>
  <si>
    <t>Kõik või enamik (≥90%) planeeritud taastamistöödest on ellu viidud.</t>
  </si>
  <si>
    <t>Üle poole (50-90%) planeeritud taastamistöödest on rakendatud.</t>
  </si>
  <si>
    <t>Vähem kui pool (&lt;50%) planeeritud taastamistöödest on rakendatud</t>
  </si>
  <si>
    <t>Ükski planeeritud taastamistöö ei ole rakendatud</t>
  </si>
  <si>
    <t>12.b</t>
  </si>
  <si>
    <t>Milline on kavas määratud märgaladega ja veekogudega (sooelupaigad, jõed, järved)  seotud taastamistööde ellu viimise seis?</t>
  </si>
  <si>
    <r>
      <t>Siin küsimuses keskendutakse meetmetele, mis otseselt panustavad kaitse-eesmärgiks olevate märgade elupaikade taastamisse: sooelupaikade taastamine, märgade metsade veerežiimi taastamine, veekogude tervendamine jms.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</si>
  <si>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12.c</t>
  </si>
  <si>
    <t>Milline on koosluste hooldamistööde ellu viimise seis?</t>
  </si>
  <si>
    <r>
      <t>Siin küsimuses keskendutakse meetmetele, mis otseselt panustavad kaitse-eesmärgiks olevatesse kooslustesse (elupaigatüüpidesse). Vastavad meetmed on kava tööplaanis kantud üldjuhul jaotisesse "</t>
    </r>
    <r>
      <rPr>
        <u/>
        <sz val="10"/>
        <color theme="1"/>
        <rFont val="Arial"/>
        <family val="2"/>
      </rPr>
      <t>hooldus-, taastamis- ja ohjamismeetmed" ning tegevuse tüübiks on määratud "koosluse hooldustöö" vms</t>
    </r>
    <r>
      <rPr>
        <sz val="10"/>
        <color theme="1"/>
        <rFont val="Arial"/>
        <family val="2"/>
      </rPr>
      <t xml:space="preserve">.
Küsimusele vastamiseks määrake kavandatud meetmete rakendamise koondstaatus hindamise hetkel vastavalt ette antud vastusevariantidele. Meetme rakendamise ulatuse määramisel võtta aluseks hooldatavate koosluste pindala ning võrrelda seda eesmärgiks seatud ulatusega. 
Kui hooldatavate koosluste ulatusele ei ole eesmärki seatud, võtta aluseks pool-looduslike koosluste kogupindala alal.
Kui koosluste hooldamistööde alla on tegevusplaanis liigitatud tegevusi, mida ei ole võimalik hinnata samadel alustele nt hooldatavate niidukooslustega, siis võib vastavaid tegevusi arvestada küsimuse 15.e all ehk grupis "muu".
Meetmeid, mille tähtaeg ei ole kätte jõudnud, ei pea hindamisel arvesse võtma. </t>
    </r>
  </si>
  <si>
    <t>EELIS</t>
  </si>
  <si>
    <t>Kõik või enamik (≥90%) hooldust vajavate koosluste pindalast on hooldusesse võetud.</t>
  </si>
  <si>
    <t>Üle poole (50-90%) hooldusest vajavate koosluste pindalast on hooldusesse võetud.</t>
  </si>
  <si>
    <t>Vähem kui pool (&lt;50%) hooldust vajavate koosluste pindalast on hooldusesse võetud.</t>
  </si>
  <si>
    <t>Ükski planeeritud hooldamistöö ei ole rakendatud</t>
  </si>
  <si>
    <t>12.d</t>
  </si>
  <si>
    <t>Milline on kavas määratud liigikaitsetööde ellu viimise seis?</t>
  </si>
  <si>
    <t>Kõik või enamik (≥90%) planeeritud meetmetest on ellu viidud. Kõik meetme aspektid on täidetud ja rakendatud.</t>
  </si>
  <si>
    <t>Üle poole (50-90%) planeeritud meetmetest on rakendatud.</t>
  </si>
  <si>
    <t>Vähem kui pool (&lt;50%) planeeritud meetmetest on rakendatud</t>
  </si>
  <si>
    <t>Ükski planeeritud meetmetest ei ole rakendatud</t>
  </si>
  <si>
    <t>12.e</t>
  </si>
  <si>
    <t>Milline on kavas määratud muude otseselt kaitseväärtustele suunatud meetmete (hooldus-, taastamis- ja ohjamismeetmed jms) ellu viimise seis?</t>
  </si>
  <si>
    <t>12.f</t>
  </si>
  <si>
    <t>Millised I ja II prioriteediga meetmed on tähtajaks rakendamata ja miks?</t>
  </si>
  <si>
    <t xml:space="preserve">Palun kirjeldage siinkohal olulisi (ehk vastavalt kavas määratud prioriteetsusklassidele I või II prioriteetsusega) kaitsekorralduslikke meetmeid, mille rakendamine oli kavandatud hinnatava perioodi jooksul, kuid mida ei ole rakendatud. </t>
  </si>
  <si>
    <t>13.a</t>
  </si>
  <si>
    <t>Kas I ja II prioriteediga inventuurid, seire ja uuringud on ellu viidud?</t>
  </si>
  <si>
    <r>
      <t>Sellele küsimusele vastamiseks vaadake läbi kavandatud toetavad meetmed, mis kuuluvad i</t>
    </r>
    <r>
      <rPr>
        <u/>
        <sz val="10"/>
        <color theme="1"/>
        <rFont val="Arial"/>
        <family val="2"/>
      </rPr>
      <t>nventuuride, seirete ja uuringute</t>
    </r>
    <r>
      <rPr>
        <sz val="10"/>
        <color theme="1"/>
        <rFont val="Arial"/>
        <family val="2"/>
      </rPr>
      <t xml:space="preserve"> gruppi.  Kui selliseid meetmeid ei ole kavandatud, vali vastusevariant "ei ole asjakohane". 
Juhul, kui meetmeks on määratud üldisemalt "riiklik seire" vms, tuleb selle rakendumise hindamisel arvesse võtta, kas seiret on läbi viidud hinnataval alal (s.t kas teostatud seire annab vastuseid ka konkreetsel ala kohta).
Meetmeid, mille tähtaeg ei ole kätte jõudnud, ei pea hindamisel arvesse võtma. </t>
    </r>
  </si>
  <si>
    <t>13.b</t>
  </si>
  <si>
    <t>Kas I ja II prioriteediga ala valitsemisega seotud meetmed (kavad, kaitse-eeskirjad jms) on ellu viidud?</t>
  </si>
  <si>
    <r>
      <t>Sellele küsimusele vastamiseks vaadake läbi ala valitsemisega seotud meetmed (</t>
    </r>
    <r>
      <rPr>
        <u/>
        <sz val="10"/>
        <color theme="1"/>
        <rFont val="Arial"/>
        <family val="2"/>
      </rPr>
      <t>kavad, kaitse-eeskirjad</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</si>
  <si>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13.c</t>
  </si>
  <si>
    <t>Kas I ja II prioriteediga rekreatsiooni ja keskkonnaharidusega seotud meetmed on ellu viidud?</t>
  </si>
  <si>
    <r>
      <t>Sellele küsimusele vastamiseks vaadake läbi ala tutvustamisega seotud meetmed (</t>
    </r>
    <r>
      <rPr>
        <u/>
        <sz val="10"/>
        <color theme="1"/>
        <rFont val="Arial"/>
        <family val="2"/>
      </rPr>
      <t>külastustaristu, ala tutvustamine, keskkonnaharidus</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</si>
  <si>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RMK</t>
  </si>
  <si>
    <t>13.d</t>
  </si>
  <si>
    <t>Kas hinnataval perioodil on lisaks ellu viidud sellised kaitse-eesmärke toetavaid tegevusi, mis ei ole ette nähtud kavaga?</t>
  </si>
  <si>
    <t xml:space="preserve">Siinkohal on võimalik nimetada selliseid tähelepanu väärivaid tegevusi, mis ei olnud planeeritud kava tööplaanis, kuid mis on ellu viidud (nt läbi toetusprogrammide, kaitsekorraldusperioodil selgunud uute vajaduste tõttu vms) ja millel on eeldatavalt positiivne mõju kaitse-eesmärkidele. </t>
  </si>
  <si>
    <t>tulemused</t>
  </si>
  <si>
    <t>14.a</t>
  </si>
  <si>
    <r>
      <t xml:space="preserve">Milline on nende </t>
    </r>
    <r>
      <rPr>
        <b/>
        <u/>
        <sz val="10"/>
        <color theme="1"/>
        <rFont val="Arial"/>
        <family val="2"/>
      </rPr>
      <t>liikide</t>
    </r>
    <r>
      <rPr>
        <b/>
        <sz val="10"/>
        <color theme="1"/>
        <rFont val="Arial"/>
        <family val="2"/>
      </rPr>
      <t xml:space="preserve"> seisund, mille kaitseks ala on määratud? </t>
    </r>
  </si>
  <si>
    <t>Antud küsimuse kontekstis arvestage liike, mis on ala kaitse-eesmärgiks kehtiva kaitsekorra alusel. 
Suure hulga kaitseväärtuste korral võib hindamisel keskenduda n-ö indikaatorliikidele, valides 5 või vajadusel enam liiki, mis on antud alal laiemat liigigruppi/kooslust esindavad, kõrgendatud tähtsusega ja/või usaldusväärsete seireandmetega. Sellisel juhul lisada selgituste lahtrisse, et hinnang tugineb indikaatorliikidele, ja loetleda hindamiseks valitud liigid.
Sellele küsimusele vastamiseks võrrelge hindamisperioodi alguse andmeid olemasolevate ajakohaste seire-/inventuuriandmetega, et valida täpseim vastusevariant. Seireandmete puudumisel, kuid piisava muu taustateabe olemasolul, võib kasutada eksperthinnagut.
Kaitseväärtusete puhul, mille seisundi kohta teave puudub ja ka eksperthinnangut ei ole võimalik anda, arvestada samaväärselt kaitseväärtustega, mille seisund on halvenenud, kuna nende puhul ei ole kaitse tulemuslikkust võimalik hinnata.</t>
  </si>
  <si>
    <t>KESE, Natura aruandlus, EELIS</t>
  </si>
  <si>
    <t>14.b</t>
  </si>
  <si>
    <t>Kui vastasite küsimuses 14.a, et ≥90% liikide seisund on stabiilne või paranenud, siis palun tooge välja peamised edutegurid?</t>
  </si>
  <si>
    <t>Tuginedes oma kogemusele, kirjeldage, millised olid selle kaitsekorralduse/tegevuskava edukad tegurid. Kirjeldage, mis viis teie arvates kaitseväärtuste paranenud või stabiilse seisundi saavutamiseni. 
Küsimus on vabatahtlik ja võib jääda vastamata, kui ekspert/KeA spetsialist leiab, et tal ei ole piisavalt põhjalikke teadmisi, et esitada selline hinnang.</t>
  </si>
  <si>
    <t>14.c</t>
  </si>
  <si>
    <t>Kui asjakohane (vastavalt 14.a vastusele), siis palun tooge välja, milliste väärtuste seisund on halvenenud?</t>
  </si>
  <si>
    <t>Loetlege väärtused, mille seisund on kaitsekorraldusperioodil halvenenud.</t>
  </si>
  <si>
    <t>14.d</t>
  </si>
  <si>
    <t>Kui vastasite küsimuses 14.a, et alla 90% liikide seisund on stabiilne või paranenud, siis palun tooge välja liikide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</si>
  <si>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</si>
  <si>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15.a</t>
  </si>
  <si>
    <r>
      <t xml:space="preserve">Milline on nende </t>
    </r>
    <r>
      <rPr>
        <b/>
        <u/>
        <sz val="10"/>
        <color theme="1"/>
        <rFont val="Arial"/>
        <family val="2"/>
      </rPr>
      <t>elupaikade</t>
    </r>
    <r>
      <rPr>
        <b/>
        <sz val="10"/>
        <color theme="1"/>
        <rFont val="Arial"/>
        <family val="2"/>
      </rPr>
      <t xml:space="preserve"> seisund, mille kaitseks ala on määratud?</t>
    </r>
  </si>
  <si>
    <t xml:space="preserve">Selles küsimuses arvestada üldjuhul ainult loodusdirektiivi elupaigatüüpe. Küsimusele vastamiseks vaadake läbi ala kaitseväärtuste osa ja võrrelge seda olemasolevate seire-/inventuuriandmetega, et valida täpseim vastusevariant. Seireandmete puudumisel, kuid piisava muu taustateabe olemasolul, võib kasutada eksperthinnagut.
Kaitseväärtuseid, mille seisundi kohta andmed puuduvad ja mille puhul ei ole võimalik kasutada ka eksperthinnangut, arvestada samaväärselt kaitseväärtustega, mille seisund on halvenenud, kuna nende puhul ei ole kaitse tulemuslikkust võimalik hinnata.
Juhul, kui elupaiga pindalas ja seisundis/esinduslikkuses on muutused toimunud erinevas suunas (nt on pindala suurenenud, kuid seisundiklass hinnatud madalamaks), tuleb koondhinnangu andmisel lähtuda pindalas toimunud muutusest. Ühtse lähenemise tagamiseks arvestada üldjuhul ainult Natura elupaigatüüpe.
Kui on kindlus, et elupaiga halvenemine/kadu ei ole reaalne (füüsiline), vaid tuleneb üksnes parandatud andmetest, võib halvenemise eksperthinnanguna arvestamata jätta, lisades vastavad selgitused selgituste lahtrisse.
</t>
  </si>
  <si>
    <t>EELIS, Natura aruandlus, KESE</t>
  </si>
  <si>
    <t>15.b</t>
  </si>
  <si>
    <t>Kui vastasite küsimuses 15.a, et ≥90% elupaikade seisund on sama või paranenud, siis palun tooge välja peamised edutegurid?</t>
  </si>
  <si>
    <t>15.c</t>
  </si>
  <si>
    <t>Kui asjakohane (vastavalt 15.a vastusele), siis palun tooge välja, milliste elupaikade seisund on halvenenud?</t>
  </si>
  <si>
    <t>EELIS, Natura aruandlus, kava(d)</t>
  </si>
  <si>
    <t>15.d</t>
  </si>
  <si>
    <t>Kui vastasite küsimuses 15.a, et alla 90% elupaikade seisund on stabiilne või paranenud, siis palun tooge välja elupaikade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</si>
  <si>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</si>
  <si>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Milline on ala kaitsekorralduse mõju ökosüsteemi teenustele?</t>
  </si>
  <si>
    <t>Sellele küsimusele vastamiseks vaadake üle kavasse lisatud informatsioon ja hinnake, kas ökosüsteemi teenuste seisund on paranenud, jäänud samaks või halvenenud.
Kui muutusi ei ole võimalik hinnata, kuid on võimalik hinnata hetkeseisu, võib head ökosüsteemide teenuste pakkumist/seisundit lugeda paranenud olukorraks, keskmist muutusteta olukorraks ja nõrka halvenenud olukorraks.
Hindamine võib toimuda kaitsealade võrgustiku tasemel ja/või anda vastava sisendi kaitseala tasemele.</t>
  </si>
  <si>
    <t>ELME</t>
  </si>
  <si>
    <t>Ökosüsteemi teenuste pakkumine on oluliste muutusteta</t>
  </si>
  <si>
    <t>Andmed puuduvad/ei oska vastata</t>
  </si>
  <si>
    <t>Millised on olnud muutused ala ökoloogilises sidususes?</t>
  </si>
  <si>
    <r>
      <t>Ökoloogiline sidusus näitab, kas seisundi hindamisel on arvesse võetud teisi kaitsealasid, ja kas on tehtud hindamisi, et mõista lähedalasuvate alade mõju kaitseala üldisele toimimisele. 
Küsimusele vastamiseks tuleb kindlaks teha, kas kava sidususes ümbritsevate aladega (rohevõrgustiku koridoride ja tugialadega, teiste kaitsealadega jm) on hindamisperioodil toimunud muutusi. Sidusust parandavateks muutusteks on nt n-ö astmelaudadeks olevate alade seisundi paranemine (elupaikade taastamine) või kaitse alla võtmine, suurtele infrastruktuuridele ökoduktide rajamine vm. Sidusust vähendavateks arenguteks on nt uued hoonestatud alad, kaevandused või taristuobjektid, raadamine vms olulistes suundades.
Kui muutusi ei ole võimalik hinnata, kuid on võimalik hinnata hetkeseisu, võib väga head sidusust lugeda paranenud olukorraks, head sidusust stabiilseks olukorraks ja halba sidusust halvenenud olukorraks.
Hindamine võib toimuda kaitsealade võrgustiku tasemel ja/või anda vastava sisendi kaitseala tasemele</t>
    </r>
    <r>
      <rPr>
        <u/>
        <sz val="10"/>
        <color theme="1"/>
        <rFont val="Arial"/>
        <family val="2"/>
      </rPr>
      <t>.</t>
    </r>
  </si>
  <si>
    <t>Ökoloogiline sidusus on stabiilne</t>
  </si>
  <si>
    <t>18.a</t>
  </si>
  <si>
    <t>Kas on tuvastatud ala kaitsekorra rikkumisi?</t>
  </si>
  <si>
    <t>Küsimuse eesmärk on selgitada, kas ala kaitsekord ja selle rakendamise järelevalve on tõhusalt toimiv. Näited võimalikest rikkumistest on ebaseaduslikud ehitised, puude ebaseaduslik raie, lindude pesade rüüste, pesitsuspaikade kahjustamine jne.
Kui regulaarset järelevalvetegevust ei toimu või see on vastaja hinnangul küsimusele vastamiseks ebapiisav, tuleb valida vastusevariant "usaldusväärne ülevaade puudub".</t>
  </si>
  <si>
    <t>OKAS, väärteomenetluse portaal</t>
  </si>
  <si>
    <r>
      <t>Usaldusväärne ülevaade kaitsekorra toimivusest/rikkumistest puudub (</t>
    </r>
    <r>
      <rPr>
        <u/>
        <sz val="10"/>
        <color theme="1"/>
        <rFont val="Arial"/>
        <family val="2"/>
      </rPr>
      <t>jäta 18.b vahele</t>
    </r>
    <r>
      <rPr>
        <sz val="10"/>
        <color theme="1"/>
        <rFont val="Arial"/>
        <family val="2"/>
      </rPr>
      <t>)</t>
    </r>
  </si>
  <si>
    <r>
      <t>Jah, on tuvastatud kaitsekorra rikkumisi (</t>
    </r>
    <r>
      <rPr>
        <u/>
        <sz val="10"/>
        <color theme="1"/>
        <rFont val="Arial"/>
        <family val="2"/>
      </rPr>
      <t>täpsusta vastust küsimuses 18.b</t>
    </r>
    <r>
      <rPr>
        <sz val="10"/>
        <color theme="1"/>
        <rFont val="Arial"/>
        <family val="2"/>
      </rPr>
      <t>)</t>
    </r>
  </si>
  <si>
    <r>
      <t>Puuduvad teadaolevad rikkumised  (</t>
    </r>
    <r>
      <rPr>
        <u/>
        <sz val="10"/>
        <color theme="1"/>
        <rFont val="Arial"/>
        <family val="2"/>
      </rPr>
      <t>jäta 18.b vahele</t>
    </r>
    <r>
      <rPr>
        <sz val="10"/>
        <color theme="1"/>
        <rFont val="Arial"/>
        <family val="2"/>
      </rPr>
      <t>)</t>
    </r>
  </si>
  <si>
    <t>18.b</t>
  </si>
  <si>
    <t>Kas tuvastatud ala kaitsekorra rikkumistel võib olla (oluline) mõju ala kaitseväärtustele?</t>
  </si>
  <si>
    <t>Küsimusele vastamiseks on vajalik vastaja hinnang, kas alal toimunud/toimuvatel rikkumistel võib olla reaalne mõju ala kaitseväärtuste seisundile (nt kahjustab rikkumine liigi populatsiooni või elupaiga seisundit või ulatust). Vastamisel saab tugineda rikkumiste kohta dokumenteeritud infost, rikkumiste iseloomule, ulatusele ja kestvusele.
Kui rikkumisel on olnud mõju, kuid rikkumine on likvideeritud ja selle mõju on tänaseks lakanud (nt on likvideeritud ebaseaduslik pais kaitsealuste liikide elupaigaks oleval vooluvekogul), siis saab vastata eitavalt.
Variandile "ei oska vastata" on antud küsimuse puhul antud madal hindepunkt, kuna see viitab, et rikkumiste keskkonnakahju on jäänud välja selgitamata või vastav informatsioon ei ole kaitse planeerijale kergesti kättesaadav, mida võib kaitse korralduse aspektist lugeda puudujäägiks.
Vastates "jah", lisada selgituste lahtrisse, millistest tegevustest (rikkumistest) ja/või millistele kaitseväärtustele tulenevad peamised mõjud.</t>
  </si>
  <si>
    <t>Jah, rikkumistel on võimalik (oluline) mõju kaitseväärtustele</t>
  </si>
  <si>
    <t>Ei, rikkumistel ja/või selle tagajärgedel ei ole teadaolevaid (olulisi) mõjusid kaitseväärtustele</t>
  </si>
  <si>
    <t>19.a</t>
  </si>
  <si>
    <t>Kas teie hinnangul on ala kaitsekord olnud sobiv ja piisavalt tõhus kaitse-eesmärkide saavutamise toetamiseks?</t>
  </si>
  <si>
    <t>Ala kaitsekord ja vööndites kehtivad piirangud mõjutavad kaitse-eesmärkidele avalduvaid survetegureid, meetmete elluviimise edukust jm. Vastuseks märkida, kas vastaja hinnangul on ala kaitsekord, s.h ka ala välispiir ja vööndite piirid, asjakohane.</t>
  </si>
  <si>
    <t>19.b</t>
  </si>
  <si>
    <t>Kas määruses nimetatud ala kaitseväärtused on asjakohased ja piisavad?</t>
  </si>
  <si>
    <t>Vastamiseks hinnata, kas kõik alal esinevad olulised liigid ja elupaigad on määratud ala kaitseväärtuseks. Selleks saab võrrelda kehtivat määrust nt Natura standardandmebaasi kantud andmetega, EOÜ aruannetega jm.
Sama küsimuse all arvestada ka seda, kui kaitseväärtuseks on määratud ka liike/elupaiku, mida alal ei esine ja mille esinemiseks ei ole ka potentsiaali, s.t otstarbekas oleks need kaitseväärtuste hulgast eemaldada.</t>
  </si>
  <si>
    <t>19.c</t>
  </si>
  <si>
    <t>Kui vastasite küsimusele 19.a eitavalt, siis millised muudatused oleksid vajalikud?</t>
  </si>
  <si>
    <t>Muud tähelepanekud ja kommentaarid, mida soovite lisada</t>
  </si>
  <si>
    <r>
      <rPr>
        <u/>
        <sz val="10"/>
        <color theme="1"/>
        <rFont val="Arial"/>
        <family val="2"/>
      </rPr>
      <t>Küsimusele vastamine on vabatahtlik</t>
    </r>
    <r>
      <rPr>
        <sz val="10"/>
        <color theme="1"/>
        <rFont val="Arial"/>
        <family val="2"/>
      </rPr>
      <t>. 
Vajadusel või soovi korral saab siin välja tuua täpsustavaid selgitusi läbi viidud hindamise kohta; kaitsealaga seotud probleeme, mida eelnevad küsimused ei käsitle; viiteid asjakohastele taustamaterjalidele; muid hindamisega seotud tähelepanekuid ja kommentaare.</t>
    </r>
  </si>
  <si>
    <t>Selgitused, lisainfo/
vastuse põhjendus</t>
  </si>
  <si>
    <t>Loodusdirektiivi aruande hinnangud</t>
  </si>
  <si>
    <t>soodne</t>
  </si>
  <si>
    <t>favourable = FV</t>
  </si>
  <si>
    <t>ebapiisav</t>
  </si>
  <si>
    <t>unfavourable-inadequate= U1</t>
  </si>
  <si>
    <t>halb</t>
  </si>
  <si>
    <t>unfavourable-bad = U2</t>
  </si>
  <si>
    <t>teadmata</t>
  </si>
  <si>
    <t>unknown=XX</t>
  </si>
  <si>
    <r>
      <t xml:space="preserve">Pole asjakohane (liigid ei ole kaitse-eesmärgiks, </t>
    </r>
    <r>
      <rPr>
        <u/>
        <sz val="10"/>
        <color theme="1"/>
        <rFont val="Arial"/>
        <family val="2"/>
        <charset val="186"/>
      </rPr>
      <t>jäta 1c vahele</t>
    </r>
    <r>
      <rPr>
        <sz val="10"/>
        <color theme="1"/>
        <rFont val="Arial"/>
        <family val="2"/>
      </rPr>
      <t>)</t>
    </r>
  </si>
  <si>
    <r>
      <t xml:space="preserve">Pole asjakohane (elupaigad ei ole kaitse-eesmärgiks, </t>
    </r>
    <r>
      <rPr>
        <u/>
        <sz val="10"/>
        <color theme="1"/>
        <rFont val="Arial"/>
        <family val="2"/>
        <charset val="186"/>
      </rPr>
      <t>jäta 1d vahele</t>
    </r>
    <r>
      <rPr>
        <sz val="10"/>
        <color theme="1"/>
        <rFont val="Arial"/>
        <family val="2"/>
      </rPr>
      <t>)</t>
    </r>
  </si>
  <si>
    <t>pole asjakohane</t>
  </si>
  <si>
    <t>Vastus (sobiva vastusevariandi reale märkida skoor kõrvaltulbast, kirjeldava vastuse korral kirjutada lahtrisse oma vastus, tekstiliste valikvastuste korral vastus tulbast "vastusevariandid")</t>
  </si>
  <si>
    <t>Kirjuta ise vastuse tulpa</t>
  </si>
  <si>
    <t>muu (täpsusta ise)</t>
  </si>
  <si>
    <t>Ökosüsteemi teenuste pakkumine on hea või paranenud</t>
  </si>
  <si>
    <t>Ökosüsteemi teenuste pakkumine on halb või halvenenud</t>
  </si>
  <si>
    <t>Ökoloogiline sidusus on hea või paranenud</t>
  </si>
  <si>
    <t>Ökoloogiline sidusus on halb või vähenenud/halvenenud</t>
  </si>
  <si>
    <r>
      <t>Ala survetegureid ei ole kindlaks määratud (</t>
    </r>
    <r>
      <rPr>
        <u/>
        <sz val="10"/>
        <color theme="1"/>
        <rFont val="Arial"/>
        <family val="2"/>
      </rPr>
      <t>jäta 3.b, 3.c vahele</t>
    </r>
    <r>
      <rPr>
        <sz val="10"/>
        <color theme="1"/>
        <rFont val="Arial"/>
        <family val="2"/>
      </rPr>
      <t>)</t>
    </r>
  </si>
  <si>
    <t>Ei oska vastata (jäta 11.b vahele)</t>
  </si>
  <si>
    <t>Kirjuta ise vastuse tulpa; kui tähelepanekuid ei ole, märgi "tähelepanekud puuduvad"</t>
  </si>
  <si>
    <r>
      <t xml:space="preserve">Pole asjakohane (liigid ei ole kaitse-eesmärgiks) </t>
    </r>
    <r>
      <rPr>
        <u/>
        <sz val="10"/>
        <color theme="1"/>
        <rFont val="Arial"/>
        <family val="2"/>
        <charset val="186"/>
      </rPr>
      <t>(jäta 14.b-14.d vahele)</t>
    </r>
  </si>
  <si>
    <r>
      <t xml:space="preserve">Pole asjakohane (elupaigad ei ole kaitse-eesmärgiks) </t>
    </r>
    <r>
      <rPr>
        <u/>
        <sz val="10"/>
        <color theme="1"/>
        <rFont val="Arial"/>
        <family val="2"/>
        <charset val="186"/>
      </rPr>
      <t>(jäta 15.b-15.d vahele)</t>
    </r>
  </si>
  <si>
    <r>
      <t xml:space="preserve">Ühegi kaitseväärtuse seisund ei ole stabiilne või paranenud </t>
    </r>
    <r>
      <rPr>
        <u/>
        <sz val="10"/>
        <color theme="1"/>
        <rFont val="Arial"/>
        <family val="2"/>
        <charset val="186"/>
      </rPr>
      <t>(jäta 14.b vahele)</t>
    </r>
  </si>
  <si>
    <r>
      <t xml:space="preserve">Kõigi või enamiku (≥90%) kaitseväärtuste seisund on paranenud või on jäänud samaks. </t>
    </r>
    <r>
      <rPr>
        <sz val="10"/>
        <color theme="1"/>
        <rFont val="Arial"/>
        <family val="2"/>
        <charset val="186"/>
      </rPr>
      <t>(jäta 15.d vahele)</t>
    </r>
  </si>
  <si>
    <t>Üle poolte (50-90%) kaitseväärtuste seisund on paranenud või jäänud samaks. (jäta 15.b vahele)</t>
  </si>
  <si>
    <r>
      <t xml:space="preserve">Ühegi kaitseväärtuse seisund ei ole stabiilne või paranenud </t>
    </r>
    <r>
      <rPr>
        <u/>
        <sz val="10"/>
        <color theme="1"/>
        <rFont val="Arial"/>
        <family val="2"/>
        <charset val="186"/>
      </rPr>
      <t>(jäta 15.b vahele)</t>
    </r>
  </si>
  <si>
    <r>
      <t xml:space="preserve">Vähem kui poolte (&lt;50%) kaitseväärtuste seisund on paranenud või jäänud samaks </t>
    </r>
    <r>
      <rPr>
        <u/>
        <sz val="10"/>
        <color theme="1"/>
        <rFont val="Arial"/>
        <family val="2"/>
        <charset val="186"/>
      </rPr>
      <t>(jäta 15.b vahele)</t>
    </r>
  </si>
  <si>
    <t>Tulemuslikkuse hindamise kuupäev (pp.kk.aaaa). Kui hindamistabelit on värskemate andmete põhjal täiendatud, lisada ka uuendamise kuupäev ja vastava küsimuse number.</t>
  </si>
  <si>
    <t>19.d</t>
  </si>
  <si>
    <t>Kui vastasite küsimusele 19.c eitavalt, siis millised muudatused oleksid vajalikud?</t>
  </si>
  <si>
    <t>Siin on oodatud lühike kokkuvõtlik selgitus, millised muudatused oleksid vajalikud - nt kas tuleb muuta kaitsekorda/vööndeid või tuleb muuta ala kaitseväärtuseid (määruses nimetatud kaitse-eesmärke).</t>
  </si>
  <si>
    <r>
      <t>Ei oska vastata (</t>
    </r>
    <r>
      <rPr>
        <u/>
        <sz val="10"/>
        <color theme="1"/>
        <rFont val="Arial"/>
        <family val="2"/>
      </rPr>
      <t>jäta 19.d vahele</t>
    </r>
    <r>
      <rPr>
        <sz val="10"/>
        <color theme="1"/>
        <rFont val="Arial"/>
        <family val="2"/>
      </rPr>
      <t>)</t>
    </r>
  </si>
  <si>
    <r>
      <t>Ei oska vastata (</t>
    </r>
    <r>
      <rPr>
        <u/>
        <sz val="10"/>
        <color theme="1"/>
        <rFont val="Arial"/>
        <family val="2"/>
      </rPr>
      <t>jäta 19.b vahele</t>
    </r>
    <r>
      <rPr>
        <sz val="10"/>
        <color theme="1"/>
        <rFont val="Arial"/>
        <family val="2"/>
      </rPr>
      <t>)</t>
    </r>
  </si>
  <si>
    <t>Nimetada vastuse lahtris katiseväärtused, mis vajaks kaitse-eeskirja lisamist või sealt eemaldamist.</t>
  </si>
  <si>
    <t>Ei, kaitse-eesmärkide muutmine on kavas/tööplaanis ette nähtud, kuid sellega pole veel alustatud (jäta 19.d vahele)</t>
  </si>
  <si>
    <t>Ei, kuid kaitse-eeskirja/määruse muutmine on juba töös (jäta 19.d vahele)</t>
  </si>
  <si>
    <t>Jah (jäta 19.d vahele)</t>
  </si>
  <si>
    <t>Ei, kaitsekorra muutmine on kavas/tööplaanis ette nähtud, kuid sellega pole veel alustatud (jäta 19.b vahele)</t>
  </si>
  <si>
    <t>Ei, kuid kaitsekorra muutmine on juba töös (jäta 19.b vahele)</t>
  </si>
  <si>
    <t>Jah (jäta 19.b vahele)</t>
  </si>
  <si>
    <t>Kas kõikide ala kaitseväärtuseks olevate liikide esinemise/seisundi info oli kaitsekorraldusperioodi alguses kindlaks tehtud?</t>
  </si>
  <si>
    <t>Kas kõikide ala kaitseväärtuseks (kaitse-eesmärgiks) olevate elupaikade seisund oli kaitsekorraldusperioodi alguses kindlaks tehtud?</t>
  </si>
  <si>
    <t xml:space="preserve">Milline on nende liikide seisund, mille kaitseks ala on määratud? </t>
  </si>
  <si>
    <t>Milline on nende elupaikade seisund, mille kaitseks ala on määratud?</t>
  </si>
  <si>
    <t>Küsimuse nr</t>
  </si>
  <si>
    <t>Max skoor</t>
  </si>
  <si>
    <t>Hindamise skoor</t>
  </si>
  <si>
    <t>Üldine</t>
  </si>
  <si>
    <t>Planeerimine</t>
  </si>
  <si>
    <t>kaitseala piirid (nt eraomandis maa arvamine kaitseala piiridesse)</t>
  </si>
  <si>
    <t>Hindamistabel</t>
  </si>
  <si>
    <t xml:space="preserve"> </t>
  </si>
  <si>
    <t>Kas survetegurite olulisus ja ulatus on kindlaks määratud?</t>
  </si>
  <si>
    <t>Kas saab välja tuua muid puudujääke ala kaitsekorraldusega seotud teadmistes/alusinfos (peale seisundiandmete puudujääkide)?</t>
  </si>
  <si>
    <t>Kui teostatud seire, inventuurid ja/või uuringud ei anna piisavat teavet, siis mida tuleb teha, et puudujääke lahendada?</t>
  </si>
  <si>
    <t>Nimetage olulisemad konfliktkohad</t>
  </si>
  <si>
    <t>Kui ≥90% liikide seisund on stabiilne või paranenud, siis palun tooge välja peamised edutegurid?</t>
  </si>
  <si>
    <t>Kui asjakohane, siis milliste väärtuste seisund on halvenenud?</t>
  </si>
  <si>
    <t>Kui alla 90% liikide seisund on stabiilne või paranenud, siis palun tooge välja liikide  seisundi halvenemise põhjused ja/või, millised tegevused on teie arvates vajalikud, et saavutada paremaid tulemusi?</t>
  </si>
  <si>
    <t>Kui ≥90% elupaikade seisund on sama või paranenud, siis palun tooge välja peamised edutegurid?</t>
  </si>
  <si>
    <t>Kui asjakohane, siis milliste elupaikade seisund on halvenenud?</t>
  </si>
  <si>
    <t>Kui alla 90% elupaikade seisund on stabiilne või paranenud, siis palun tooge välja elupaikade seisundi halvenemise põhjused ja/või millised tegevused on teie arvates vajalikud, et saavutada paremaid tulemusi?</t>
  </si>
  <si>
    <t>Kui kaitsekord ei ole olnud sobiv, siis millised muudatused oleksid vajalikud?</t>
  </si>
  <si>
    <t>Kui määruses nimetatud ala kaitseväärtused ei ole asjakohased, siis millised muudatused oleksid vajalikud?</t>
  </si>
  <si>
    <r>
      <t xml:space="preserve">Tegevused, mida tuleb rakendada kaitse-eesmärkide saavutamiseks, sh eesmärkide saavutamist ohustavate mõjutegurite ohjamine. Kaitsekorralduslike meetmete hulka kuulub elupaikade kaitsmine, säilitamine, loomine, taastamine, majandamine. 
</t>
    </r>
    <r>
      <rPr>
        <u/>
        <sz val="13"/>
        <color theme="1"/>
        <rFont val="Arial"/>
        <family val="2"/>
      </rPr>
      <t>Käesoleva hindamise kontekstis on eristatatud</t>
    </r>
    <r>
      <rPr>
        <sz val="13"/>
        <color theme="1"/>
        <rFont val="Arial"/>
        <family val="2"/>
      </rPr>
      <t xml:space="preserve">:
- looduskaitseseadusest ja/või ala kaitse-eeskirjast tulenev kaitsekord (õigusaktidega kehtestatud piirangud);
- kaitseala n-ö aktiivne majandamine ehk täiendavate tegevuste planeerimine läbi tegevuskavade, tööplaanide, toetusprogrammide (nt elupaikade taastamine ja hooldamine,  külastustaristu rajamine).
</t>
    </r>
    <r>
      <rPr>
        <u/>
        <sz val="13"/>
        <color theme="1"/>
        <rFont val="Arial"/>
        <family val="2"/>
      </rPr>
      <t>N-ö aktiivsete meetmete puhul on omakorda eristatud</t>
    </r>
    <r>
      <rPr>
        <sz val="13"/>
        <color theme="1"/>
        <rFont val="Arial"/>
        <family val="2"/>
      </rPr>
      <t>:
- looduskaitsemeetmed/otseselt kaitseväärtustele suunatud meetmed ehk tegevused, mille rakendamisest võib oodata otsest kasu liikide või elupaikade seisundile (nt elupaiga taastamine, elupaiga hooldamine, võõrliigi tõrje).
- toetavad meetmed ehk tegevused, mille kasu kaitseväärtustele on kaudne (nt seire seisundi tuvastamiseks, kava koostamine ja tulemuslikkuse hindamine tegevuste planeerimiseks, haridusprogrammid teadlikkuse tõstmiseks, kaitseala tähistamine piirangute rakendamiseks jm)</t>
    </r>
  </si>
  <si>
    <r>
      <t>Mõistet SMART (</t>
    </r>
    <r>
      <rPr>
        <i/>
        <sz val="13"/>
        <color theme="1"/>
        <rFont val="Arial"/>
        <family val="2"/>
      </rPr>
      <t>specific, measurable, achievable, relevant, time-bound</t>
    </r>
    <r>
      <rPr>
        <sz val="13"/>
        <color theme="1"/>
        <rFont val="Arial"/>
        <family val="2"/>
      </rPr>
      <t>) kasutatakse siinkohal kaitse-eesmärkide ja meetmete kontekstis. "SMART" mudelile vastav eesmärk või meede on konkreetne, mõõdetav, saavutatav, asjakohane ja ajaliselt määratletud.</t>
    </r>
  </si>
  <si>
    <t>Rakendamine</t>
  </si>
  <si>
    <t>Väljundid</t>
  </si>
  <si>
    <t>Seisund (planeerimine)</t>
  </si>
  <si>
    <t>Survetegurid (planeerimine)</t>
  </si>
  <si>
    <t>Eesmärgid (planeerimine)</t>
  </si>
  <si>
    <t>Meetmed (planeerimine)</t>
  </si>
  <si>
    <t>Sisendid (rakendamine)</t>
  </si>
  <si>
    <t>Protsess (rakendamine)</t>
  </si>
  <si>
    <t>Meetmed (väljundid)</t>
  </si>
  <si>
    <t>Tulemused (väljundid)</t>
  </si>
  <si>
    <t>PAME hindamine</t>
  </si>
  <si>
    <t>PAME (Protected Area Management Effectiveness) on IUCNi WCPA raamistikul põhinev lähenemine, millega hinnatakse kaitsealade valitsemise tulemuslikkust läbi aspekti kaudu — kontekst, planeerimine, sisendid, protsessid, väljundid ja tulemused. PAME hindamine näitab, kui hästi ala juhtimine aitab saavutada seatud looduskaitselisi eesmärke.</t>
  </si>
  <si>
    <t>Tulemuslikkuse hindamise aasta</t>
  </si>
  <si>
    <t>Tulemus (%)</t>
  </si>
  <si>
    <t>Koondskoor</t>
  </si>
  <si>
    <r>
      <t xml:space="preserve">Kõigi või enamiku (≥90%) (suunis)liikide seisund on stabiilne või paranenud. </t>
    </r>
    <r>
      <rPr>
        <u/>
        <sz val="10"/>
        <color theme="1"/>
        <rFont val="Arial"/>
        <family val="2"/>
        <charset val="186"/>
      </rPr>
      <t>(jäta 14.d vahele)</t>
    </r>
  </si>
  <si>
    <r>
      <t xml:space="preserve">Üle poolte (50-90%) (suunis)liikide seisund on stabiilne või paranenud. </t>
    </r>
    <r>
      <rPr>
        <u/>
        <sz val="10"/>
        <color theme="1"/>
        <rFont val="Arial"/>
        <family val="2"/>
        <charset val="186"/>
      </rPr>
      <t>(jäta 14.b vahele)</t>
    </r>
  </si>
  <si>
    <r>
      <t xml:space="preserve">Vähem kui poolte (&lt;50%) (suunis)liikide seisund on stabiilne või paranenud </t>
    </r>
    <r>
      <rPr>
        <u/>
        <sz val="10"/>
        <color theme="1"/>
        <rFont val="Arial"/>
        <family val="2"/>
        <charset val="186"/>
      </rPr>
      <t>(jäta 14.b vahele)</t>
    </r>
  </si>
  <si>
    <t>segaallikatest põhjustatud reostus</t>
  </si>
  <si>
    <r>
      <t xml:space="preserve">Siinkohal on mõeldud kõiki teisi meetmeid, mis otseste tegevustena panustavad kaitseväärtuste kaitse-eesmärkidesse, kuid ei ole nimetatud eelmistes gruppides. Sellised muud meetmed võivad olla eelkõige kava tööplaani </t>
    </r>
    <r>
      <rPr>
        <u/>
        <sz val="10"/>
        <color theme="1"/>
        <rFont val="Arial"/>
        <family val="2"/>
      </rPr>
      <t>hooldus-, taastamis- ja ohjamismeetmete või  tehnika ja loomade</t>
    </r>
    <r>
      <rPr>
        <sz val="10"/>
        <color theme="1"/>
        <rFont val="Arial"/>
        <family val="2"/>
      </rPr>
      <t xml:space="preserve"> jaotises (nt probleemliigi tõrje, hooldustehnika soetamine).
Ala valitsemisega seotud administratiivseid meetmeid nagu kaitse-eeskirja uuendamine, tegevuskava koostamine jms, on käsitletud eraldi küsimuses (13.b). Samuti ei kuulu siia alla nt kaitseala tähistamine vms.
Küsimusele vastamiseks hinnake iga kavandatud meetme ellu viimise seisu ja määrake nende rakendamise koondstaatus hindamise hetkel vastavalt ette antud vastusevariantidele.
Meetmeid, mille tähtaeg ei ole kätte jõudnud, ei pea hindamisel arvesse võtma. </t>
    </r>
  </si>
  <si>
    <t>Milline oli liikide seisundi andmete usaldusväärsus ja kvaliteet?</t>
  </si>
  <si>
    <t>Milline oli kaitseväärtuseks olevate elupaikade seisundiandmete usaldusväärsus ja kvaliteet?</t>
  </si>
  <si>
    <t>Ei ole asjakohane (alal puuduvad vastavad väärtused)</t>
  </si>
  <si>
    <r>
      <t>Siin küsimuses keskendutakse meetmetele, mis otseselt panustavad kaitseväärtustesse. Vastavad meetmed on kava tööplaanis kantud üldjuhul jaotisesse eelkõige</t>
    </r>
    <r>
      <rPr>
        <u/>
        <sz val="10"/>
        <color theme="1"/>
        <rFont val="Arial"/>
        <family val="2"/>
      </rPr>
      <t xml:space="preserve"> hooldus-, taastamis- ja ohjamismeetmed - nt liigi elupaiga taastamis- või hooldustöö</t>
    </r>
    <r>
      <rPr>
        <sz val="10"/>
        <color theme="1"/>
        <rFont val="Arial"/>
        <family val="2"/>
      </rPr>
      <t xml:space="preserve">.
Küsimusele vastamiseks hinnake iga kavandatud meetme ellu viimise seisu ja määrake nende rakendamise koondstaatus hindamise hetkel vastavalt ette antud vastusevariantidele.
Meetme rakendamise ulatuse määramisel võtta aluseks ellu viidud tegevuste arv ning võrrelda seda planeeritud ulatusega.
Kui teostatud on ka selliseid tegevusi, mis ei olnud kavas määratud (nt eraldi projektide mahus), lisada vastav informatsioon selgituste lahtrisse. 
Kui n-ö kavaväliste tegevuste abil on töid teostatud samaväärses mahus kavas ette nähtud mahtudega, kuid tööd on toimunud teistes asukohtades/teistes kasvukohtades/elupaikades, võib valida vastusevariandi, et enamik töödest on ellu viidud ning lisada selgitused selgituste lahtrisse
Meetmeid, mille tähtaeg ei ole kätte jõudnud, ei pea hindamisel arvesse võtma. </t>
    </r>
  </si>
  <si>
    <t>Milline oli elupaikade seisundiandmete usaldusväärsus ja kvaliteet?</t>
  </si>
  <si>
    <t>Kasti maastikukaitseala</t>
  </si>
  <si>
    <t>KLO1000485</t>
  </si>
  <si>
    <t>Saaremaa</t>
  </si>
  <si>
    <t>2000. a (kehtiv kaitse-eeskiri on aastast 2018)</t>
  </si>
  <si>
    <t>499,53 ha</t>
  </si>
  <si>
    <t>V</t>
  </si>
  <si>
    <t>Keskkonnaamet</t>
  </si>
  <si>
    <t>osa Kasti lahe linnu- ja loodusalast</t>
  </si>
  <si>
    <t>Kasti maastikukaitseala, Kasti lahe hoiuala, Tulpe merikotka püsielupaiga kaitsekorralduskava; Kaitstavate soode tegevuskava; Pärandniitude tegevuskava</t>
  </si>
  <si>
    <t>Andres Miller</t>
  </si>
  <si>
    <t>varem hindamata</t>
  </si>
  <si>
    <t>IBA Kasti laht EE020, Lääne-Eesti saarestiku biosfääri programmiala RAH0000611</t>
  </si>
  <si>
    <t>KKK kinnitati esmalt 2012. a ja uuesti tähtajatuna 2024. a; Kaitstavate soode tegevuskava (2016-2023); Pärandniitude tegevuskava (2021-2027)</t>
  </si>
  <si>
    <t>2012-2021; 2016-2023; 2021-2027</t>
  </si>
  <si>
    <t>KKK koostamise ajal kehtinud kaitse-eeskiri seadis kaitseväärtuseks liikidest vaid taimeliigid, kuid ka neid nimeliselt välja ei toodud; KKK-s on hiljem kaitseväärtuseks seatud liike mainitud, kuid info nende kohta on puudulik</t>
  </si>
  <si>
    <t>KKK koostamise ajal kehtinud kaitse-eeskiri seadis kaitseväärtuseks pärandkultuurmaastiku ja rannaniidud; hilisemast ajast (alates 2018. a) kehtivas kaitse-eeskirjas nimetatud kümnest kaitseväärtuseks seatud elupaigatüübist puudub KKK-s info kahe tüübi (1110 ja 7230) kohta, teiste kohta on info loodusala põhiselt</t>
  </si>
  <si>
    <t>andmelüngad, eriti liikide osas, on KKK-s välja toodud ja nende täitmiseks on ette nähtud kahe taimekoosluste riikliku seire jätkamine ning kaks linnustiku tulemusseiret</t>
  </si>
  <si>
    <t>emaputke kohta on teavet ühest kohast 2016. a ja teisest kohast 2025. a, ülejäänud viiest leiukohast peale 2009. a teave puudub; lindudest on uuemat teavet vaid punajalg-tildri ja sookure kohta</t>
  </si>
  <si>
    <t>mõjutegurid on välja toodud rohkematele väärtustele, kui neid KKK koostamise ajal kaitseväärtusena sätestatud oli, sh enamikule, kuid siiski mitte kõigile praegustele kaitseväärtustele</t>
  </si>
  <si>
    <t>paljud survetegurid (KKK-s nimetatakse  neid ohuteguriteks) on väga üldsõnalised</t>
  </si>
  <si>
    <t>majandamise puudumine või alakarjatamine</t>
  </si>
  <si>
    <t>RT, KKK</t>
  </si>
  <si>
    <t>kuivendamine, veerežiimi mõjutavad tegevused (süvendamine, täitmine jmt)</t>
  </si>
  <si>
    <t>ehitus- ja arendustegevus</t>
  </si>
  <si>
    <t>külastajatepoolne tallamine ja häirimine</t>
  </si>
  <si>
    <t>metsaraie, kõdupuidu eemaldamine</t>
  </si>
  <si>
    <t>elupaigatüüpide andmestik oli valdavalt saadud inventeerimise (aastatel 2002-2004 ja 2009. a) teel</t>
  </si>
  <si>
    <t>puuduvad vihjed välistele surveteguritele (kuid on vihje sarvikpütile, kes pesitseb teadaolevalt väljaspool MKA-d ja HA-d)</t>
  </si>
  <si>
    <t>tüübile 1110, mis oli juba KKK koostamise ajal HA kaitseväärtus ja on nüüd ka MKA kaitseväärtus, ei ole kaitse-eesmärki seatud</t>
  </si>
  <si>
    <t>KKK on koostatud Kasti lahe loodus- ja linnuala kohta ning kaitse-eesmärgid ei erista siseriiklike kaitstavaid alasid (MKA, HA, PEP); kaitse-eesmärgid on kohati üldsõnalised (nt pole pindala alati numbriliselt välja toodud)</t>
  </si>
  <si>
    <t>KKK koostamise ajal oli kaitseala üheks kaitseväärtuseks pärandkultuurmaastik; KKK seab maastikule kaitse-eesmärgi "maastiku rekreatiivne väärtus on säilinud"</t>
  </si>
  <si>
    <t>kaitseväärtuseks on muu hulgas poollooduslikud kooslused ehk pärandniidud</t>
  </si>
  <si>
    <t>meetmena on nimetatud ka järelevalvet ja KMH-sid (ei ole SMART); eelarvetabelis need tegevused ei kajastu</t>
  </si>
  <si>
    <t>KKK näeb ette Kasti maastikukaitseala, Kasti lahe hoiuala ja Tulpe merikotka püsielupaiga baasil Kasti looduskaitseala moodustamise</t>
  </si>
  <si>
    <t>tekstis on rohkem tegevusi kui eelarvetabelis (tegevuskavas)</t>
  </si>
  <si>
    <t>RT, KKK, EELIS, eksperdiarvamus</t>
  </si>
  <si>
    <t>(hindaja arvamus)</t>
  </si>
  <si>
    <t>EELIS, KKK</t>
  </si>
  <si>
    <t>koosluste kohta on teave enam-vähem olemas, kuid liikide osas on suuri puudujääke</t>
  </si>
  <si>
    <t>riiklikud seired siduda siseriiklike kaitstavate aladega; viia ellu KKK-s kavandatud linnustikuseired</t>
  </si>
  <si>
    <t xml:space="preserve">riiklikke seireid ja linnustikuseireid kas ei ole tehtud või ei ole nende tulemusi sisestatud EELIS-esse </t>
  </si>
  <si>
    <t>RT</t>
  </si>
  <si>
    <t>2018. a kinnitati uus kaitse-eeskiri (sh nimetati täpsemalt kaitseväärtused) ja laiendati pisut kaitseala</t>
  </si>
  <si>
    <t>KKK koostas Consultare OÜ;  koostamise töörühma kuulusid Kristo Kiiker, Meeli Mesipuu, Fred Peetersoo jaTiina Kiiker;  kaasamiskoosolek toimus 17.08.2010 Vaivere Seltsimajas.</t>
  </si>
  <si>
    <t>KKK-s mainitakse ühe huvigrupina RMK-d, kuid kusagil ei kajastu RMK kaasamine, kuigi ligi pool kaitseala maast on riigimaa, mida haldab RMK.</t>
  </si>
  <si>
    <t>KIRKE, RT, KKK</t>
  </si>
  <si>
    <t>KKK koosoleku (17.08.2010) protokollis ja kaitse-eeskirja eelnõu koosoleku (13.06.2017) protokollis ükski vastasseis ei kajastu, kuid eelnõu seletuskirjas on viide ühele maaomanikule, kes ei soovinud oma seni hoiualal oleva maa arvamist kaitseala koosseisu, kuna soovis jätkata linnujahiga oma maal</t>
  </si>
  <si>
    <t>eelnõu seletuskirja järgi soovis üks maaomanik oma maal jätkata linnujahiga, kuid kaitsealal see keelati</t>
  </si>
  <si>
    <t>eelnõu seletuskirja järgi ei soovinud üks maaomanik oma maa arvamist hoiualast kaitsealasse, kuna tahtis jätkata linnujahiga, mis kaitsealal keelati</t>
  </si>
  <si>
    <t>KIRKE</t>
  </si>
  <si>
    <t>kaitse-eeskirja eelnõu koosolekul avaldasid maaomanikud muret karjatamise üle, kuid mure sisu protokollis ei avane (16.06.2017 nr 1-10/17/46)</t>
  </si>
  <si>
    <t>KKK märgalade ja veekogudega seotud taastamistöid ette ei näe</t>
  </si>
  <si>
    <t>EELIS-e järgi on kaitsealal poollooduslikke kooslusi 189,04 ha, millest oli 2025. a hoolduses 95,01 ha e 50,3% (2012. a oli hoolduses 114,59% e 60,6%)</t>
  </si>
  <si>
    <t>KKK, KeA</t>
  </si>
  <si>
    <t>KKK liigikaitselisi töid ette ei näe</t>
  </si>
  <si>
    <t>KKK, KeA, RMK</t>
  </si>
  <si>
    <t>KKK kaitsealal taastamistegevusi ette ei näe, kuid 2015. a on viidud "hooldusnõuetele vastavusse" 2,95 ha rannaniitu (läks pärast hooldusse), 2019. a on puhastatud tihedast pilliroost 3,05 ha rannaniitu (ei läinud pärast hooldusse) ja 2020. a on sealsamas jätkatud 0,99 ha rannaniidu puhastamist tihedast pilliroost (läks pooleldi hooldusse); RMK on 2016. a taastanud kadastikku 8,56 ha, 2021. a aruniitu ja puiskarjamaad kokku 0,34 ha ning samal aastal lisaks aruniitu ja puiskarjamaad kokku 1,11 ha (kõik on hiljem valdavalt ka hoolduses)</t>
  </si>
  <si>
    <t>KKK näeb ette rebaste arvukuse vähendamise väikesaartel ja laidudel, kuid puudub teave rebaste küttimise kohta</t>
  </si>
  <si>
    <t>EELIS, KeA</t>
  </si>
  <si>
    <t>poollooduslikest kooslustest on ligi pool hooldamata (karjatamata) ja rebased on ilmselt ohjamata (vastav info puudub)</t>
  </si>
  <si>
    <t>ilmselt puudub maaomanikel motivatsioon oma maad hooldada (või seda hooldada lasta) ning jahimeestel puudub motivatsioon rebaseid küttida</t>
  </si>
  <si>
    <t>liigiandmestik on jätkuvalt väga kesine</t>
  </si>
  <si>
    <t>tulemuslikkuse vahehindamine ja Natura standardandmebaasi ajakohastamine on üldse tegemata, kaitse-eeskirja on 2018. a küll uuendatud, kuid "Kasti maastikukaitseala, Kasti lahe hoiuala ja Tulpe merikotka püsielupaiga baasil looduskaitseala moodustamine" on jätkuvalt tegemata</t>
  </si>
  <si>
    <t>MaRu</t>
  </si>
  <si>
    <t>KKK-ga ette nähtud "infostend Kasti MKA parklasse" on külastustaristu virtuaalkontori järgi jätkuvalt "planeeritav"; kaitseala välispiir on ilmselt tähistamata (KKK räägib osalisest tähistatusest ja tähiste uuendamisest vajaduse korral)</t>
  </si>
  <si>
    <t>kuigi KKK poollooduslike koosluste taastamisi kaitsealal ette ei näinud, on seda mingil määral siiski tehtud</t>
  </si>
  <si>
    <t>(vt küsimuse 12a selgitust)</t>
  </si>
  <si>
    <t>RT, EELIS</t>
  </si>
  <si>
    <t>niidurüdi elupaik on 2025. a arhiveeritud, vööt-põõsalinnu ja viupardi kohta info puudub, emaputke ja liht-randpunga on ka pärast 2009. a mõnes kohas leitud</t>
  </si>
  <si>
    <t>niidurüdi, vööt-põõsalind ja viupart</t>
  </si>
  <si>
    <t>(viiest suunisliigist kolme kohta uuem info puudub)</t>
  </si>
  <si>
    <t>linnustikku mõjutab ilmselt enim väikekiskjate kõrge arvukus ja piisavalt ulatuslike lagealade kahanemine ebapiisava hoolduse tõttu, kuid põhjus võib olla ka seireandmete puudumine või puudulikkus</t>
  </si>
  <si>
    <t>eksperdiarvamus</t>
  </si>
  <si>
    <t>vajalik on väikekiskjate ohjamine, suuremate lagealade taastamine ning asjakohased teadusuuringud (hindaja arvamus)</t>
  </si>
  <si>
    <t>KKK ei erista kaitseala ja hoiuala ning info on esitatud loodusala kohta, mis ei võimalda kaitseala elupaikade seisundi muutust täpsemalt hinnata; arvestades, et pool pärandkooslustest on hoolduses, siis on vähemalt pindalaliselt poolte koosluste seisund paranenud või jäänud vähemalt samaks</t>
  </si>
  <si>
    <t>puiskarjamaad</t>
  </si>
  <si>
    <t>KKK järgi oli elupaigatüübi esinduslikkus A, kuid hilisemate inventuurida järgi C (2025. a Kasti lahe loodusala niiduelupaigatüüpide inventuur ei ole veel EELIS-es)</t>
  </si>
  <si>
    <t>poollooduslikest kooslustest vaid pool on hoolduses</t>
  </si>
  <si>
    <t>pärandniidud tuleba taastada ja hooldusse võtta</t>
  </si>
  <si>
    <t>keskmine (6,66 palli 10-palli skaalal; hinnang on antud 40,97% põhjal kaitsealast)</t>
  </si>
  <si>
    <t>keskmine (65,76 palli 100-palli skaalal; hinnang on antud 39,79% põhjal kaitsealast)</t>
  </si>
  <si>
    <t>KKK, MaRu</t>
  </si>
  <si>
    <t>kaitse-eesmärgid on seatud rekreatiivselete väärtustele; pärandkultuuriobjekte kaitsealal teada ei ole</t>
  </si>
  <si>
    <t>OKAS, MaRu</t>
  </si>
  <si>
    <t>järelevalve käigus rikkumisi ei ole tuvastatud; ortofotol märke ebaseaduslikust tegevusest silma ei torka</t>
  </si>
  <si>
    <t>piiranguvööndi kaitsekord on pärandniitude kaitsmiseks küll piisav, kuid otstarbekam on Kasti lahe linnu- ja loodusala kaitsta ühe siseriikliku kaitstava alana; (Kasti lahe HA ja Sutu lahe HA vaheline piir vajab ülevaatamist ja parandamist); (hindaja arvamus)</t>
  </si>
  <si>
    <t>Kasti lahe linnu- ja loodusala kaitsta ühe siseriikliku kaitstava alana, nagu ka KKK ette näeb</t>
  </si>
  <si>
    <t>KKK, eksperdiarvamus</t>
  </si>
  <si>
    <t>RT, EELIS, KIRKE</t>
  </si>
  <si>
    <t>kaitsealal on 3,2 ha kõrge esinduslikkusega (A) lamminiite (6450), mis ei ole kaitseväärtusena nimetatud ega ka nimetamisel (kaitse-eeskiri ei ole muutmisel ega täiendamisel); kaitseväärtuseks on liike, mille olemasolu kohta kaitsealal teave puudub või on teave vananenud</t>
  </si>
  <si>
    <t>kaitseväärtuste hulka lisada tüüp 6450; kaaluda tüüpide 1110 ja 1140 eemaldamist; kaaluda niidurüdi, vööt-põõsalinnu, viupardi, hallhane, randtiiru ja sõtka eemaldamist</t>
  </si>
  <si>
    <t>ajakohane teave paljude kaitseväärtuseks olevate liikide kohta puudub</t>
  </si>
  <si>
    <t>kaaluda uuesti Kasti MKA ja Kasti lahe HA liitmist; parandada ära piir Sutu lahe HA-ga</t>
  </si>
  <si>
    <t>EELIS, MaRu, eksperdiarvamus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</si>
</sst>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0.0%"/>
  </numFmts>
  <fonts count="58" x14ac:knownFonts="1">
    <font>
      <sz val="8"/>
      <name val="Montserrat"/>
    </font>
    <font>
      <sz val="11"/>
      <color theme="1"/>
      <name val="Trebuchet MS"/>
      <family val="2"/>
      <scheme val="minor"/>
    </font>
    <font>
      <sz val="8"/>
      <name val="Arial"/>
      <family val="2"/>
    </font>
    <font>
      <sz val="8"/>
      <name val="Arial"/>
      <family val="2"/>
    </font>
    <font>
      <sz val="8"/>
      <color indexed="8"/>
      <name val="Arial"/>
      <family val="2"/>
    </font>
    <font>
      <sz val="8"/>
      <color theme="1"/>
      <name val="Arial"/>
      <family val="2"/>
    </font>
    <font>
      <sz val="8"/>
      <color theme="0"/>
      <name val="Arial"/>
      <family val="2"/>
    </font>
    <font>
      <sz val="8"/>
      <color rgb="FF8D2EA5"/>
      <name val="Arial"/>
      <family val="2"/>
    </font>
    <font>
      <sz val="8"/>
      <color theme="4"/>
      <name val="Arial"/>
      <family val="2"/>
    </font>
    <font>
      <u/>
      <sz val="8"/>
      <color rgb="FF6688CA"/>
      <name val="Arial"/>
      <family val="2"/>
    </font>
    <font>
      <b/>
      <sz val="11"/>
      <color theme="4"/>
      <name val="Verdana"/>
      <family val="2"/>
    </font>
    <font>
      <b/>
      <sz val="10"/>
      <color theme="6"/>
      <name val="Verdana"/>
      <family val="2"/>
    </font>
    <font>
      <b/>
      <sz val="9"/>
      <color theme="6"/>
      <name val="Verdana"/>
      <family val="2"/>
    </font>
    <font>
      <b/>
      <sz val="9"/>
      <color rgb="FF6688CA"/>
      <name val="Verdana"/>
      <family val="2"/>
    </font>
    <font>
      <u/>
      <sz val="8"/>
      <color theme="4"/>
      <name val="Arial"/>
      <family val="2"/>
    </font>
    <font>
      <sz val="8"/>
      <color rgb="FF3F3F3F"/>
      <name val="Arial"/>
      <family val="2"/>
    </font>
    <font>
      <b/>
      <sz val="16"/>
      <color theme="6"/>
      <name val="Verdana"/>
      <family val="2"/>
    </font>
    <font>
      <b/>
      <sz val="8"/>
      <color theme="1"/>
      <name val="Verdana"/>
      <family val="2"/>
    </font>
    <font>
      <sz val="8"/>
      <color theme="7"/>
      <name val="Arial"/>
      <family val="2"/>
    </font>
    <font>
      <sz val="8"/>
      <name val="Trebuchet MS"/>
      <family val="2"/>
    </font>
    <font>
      <sz val="8"/>
      <color theme="1"/>
      <name val="Trebuchet MS"/>
      <family val="2"/>
    </font>
    <font>
      <sz val="8"/>
      <color theme="0"/>
      <name val="Trebuchet MS"/>
      <family val="2"/>
    </font>
    <font>
      <sz val="8"/>
      <name val="Montserrat"/>
      <family val="3"/>
    </font>
    <font>
      <b/>
      <sz val="8"/>
      <color theme="0"/>
      <name val="Montserrat"/>
      <family val="3"/>
    </font>
    <font>
      <b/>
      <sz val="12"/>
      <color rgb="FF002C54"/>
      <name val="Montserrat ExtraBold"/>
      <family val="3"/>
    </font>
    <font>
      <sz val="12"/>
      <color theme="1"/>
      <name val="Trebuchet MS"/>
      <family val="2"/>
      <scheme val="minor"/>
    </font>
    <font>
      <u/>
      <sz val="12"/>
      <color theme="10"/>
      <name val="Trebuchet MS"/>
      <family val="2"/>
      <scheme val="minor"/>
    </font>
    <font>
      <b/>
      <sz val="10"/>
      <color theme="0"/>
      <name val="Arial"/>
      <family val="2"/>
    </font>
    <font>
      <sz val="10"/>
      <name val="Arial"/>
      <family val="2"/>
    </font>
    <font>
      <b/>
      <sz val="10"/>
      <color theme="1"/>
      <name val="Arial"/>
      <family val="2"/>
    </font>
    <font>
      <sz val="10"/>
      <color theme="1"/>
      <name val="Arial"/>
      <family val="2"/>
    </font>
    <font>
      <u/>
      <sz val="10"/>
      <color theme="1"/>
      <name val="Arial"/>
      <family val="2"/>
    </font>
    <font>
      <b/>
      <sz val="10"/>
      <name val="Arial"/>
      <family val="2"/>
    </font>
    <font>
      <sz val="8"/>
      <color rgb="FF0070C0"/>
      <name val="Montserrat"/>
      <family val="3"/>
    </font>
    <font>
      <sz val="8"/>
      <color rgb="FFFF0000"/>
      <name val="Montserrat"/>
      <family val="3"/>
    </font>
    <font>
      <b/>
      <u/>
      <sz val="10"/>
      <color theme="1"/>
      <name val="Arial"/>
      <family val="2"/>
    </font>
    <font>
      <u/>
      <sz val="10"/>
      <color theme="1"/>
      <name val="Arial"/>
      <family val="2"/>
      <charset val="186"/>
    </font>
    <font>
      <sz val="10"/>
      <color theme="1"/>
      <name val="Arial"/>
      <family val="2"/>
      <charset val="186"/>
    </font>
    <font>
      <sz val="20"/>
      <name val="Montserrat"/>
      <charset val="186"/>
    </font>
    <font>
      <b/>
      <sz val="20"/>
      <color rgb="FF002C54"/>
      <name val="Montserrat"/>
      <charset val="186"/>
    </font>
    <font>
      <b/>
      <sz val="10"/>
      <color rgb="FF002C54"/>
      <name val="Arial"/>
      <family val="2"/>
      <charset val="186"/>
    </font>
    <font>
      <sz val="10"/>
      <name val="Arial"/>
      <family val="2"/>
      <charset val="186"/>
    </font>
    <font>
      <b/>
      <sz val="20"/>
      <color theme="2"/>
      <name val="Arial"/>
      <family val="2"/>
      <charset val="186"/>
    </font>
    <font>
      <sz val="20"/>
      <color theme="2"/>
      <name val="Arial"/>
      <family val="2"/>
      <charset val="186"/>
    </font>
    <font>
      <sz val="20"/>
      <name val="Arial"/>
      <family val="2"/>
      <charset val="186"/>
    </font>
    <font>
      <b/>
      <sz val="18"/>
      <color rgb="FF002C54"/>
      <name val="Montserrat"/>
      <charset val="186"/>
    </font>
    <font>
      <b/>
      <sz val="13"/>
      <color theme="0"/>
      <name val="Arial"/>
      <family val="2"/>
    </font>
    <font>
      <b/>
      <sz val="13"/>
      <color theme="1"/>
      <name val="Arial"/>
      <family val="2"/>
    </font>
    <font>
      <sz val="13"/>
      <color theme="1"/>
      <name val="Arial"/>
      <family val="2"/>
    </font>
    <font>
      <u/>
      <sz val="13"/>
      <color theme="1"/>
      <name val="Arial"/>
      <family val="2"/>
    </font>
    <font>
      <i/>
      <sz val="13"/>
      <color theme="1"/>
      <name val="Arial"/>
      <family val="2"/>
    </font>
    <font>
      <sz val="13"/>
      <name val="Arial"/>
      <family val="2"/>
    </font>
    <font>
      <b/>
      <sz val="12"/>
      <color rgb="FF002C54"/>
      <name val="Montserrat"/>
      <charset val="186"/>
    </font>
    <font>
      <sz val="10"/>
      <color theme="0"/>
      <name val="Arial"/>
      <family val="2"/>
      <charset val="186"/>
    </font>
    <font>
      <b/>
      <sz val="10"/>
      <color theme="0"/>
      <name val="Arial"/>
      <family val="2"/>
      <charset val="186"/>
    </font>
    <font>
      <b/>
      <sz val="10"/>
      <name val="Arial"/>
      <family val="2"/>
      <charset val="186"/>
    </font>
    <font>
      <b/>
      <sz val="20"/>
      <name val="Arial"/>
      <family val="2"/>
      <charset val="186"/>
    </font>
    <font>
      <b/>
      <sz val="20"/>
      <color theme="1"/>
      <name val="Arial"/>
      <family val="2"/>
      <charset val="186"/>
    </font>
  </fonts>
  <fills count="68">
    <fill>
      <patternFill patternType="none"/>
    </fill>
    <fill>
      <patternFill patternType="gray125"/>
    </fill>
    <fill>
      <patternFill patternType="solid">
        <fgColor indexed="56"/>
        <bgColor indexed="64"/>
      </patternFill>
    </fill>
    <fill>
      <patternFill patternType="solid">
        <fgColor indexed="62"/>
        <bgColor indexed="64"/>
      </patternFill>
    </fill>
    <fill>
      <patternFill patternType="solid">
        <fgColor indexed="18"/>
        <bgColor indexed="6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rgb="FFFFE2CC"/>
        <bgColor rgb="FFFFE2CC"/>
      </patternFill>
    </fill>
    <fill>
      <patternFill patternType="solid">
        <fgColor rgb="FFCCD7ED"/>
        <bgColor indexed="64"/>
      </patternFill>
    </fill>
    <fill>
      <patternFill patternType="solid">
        <fgColor rgb="FFE3D5ED"/>
        <bgColor indexed="64"/>
      </patternFill>
    </fill>
    <fill>
      <patternFill patternType="solid">
        <fgColor rgb="FFCAE399"/>
        <bgColor rgb="FFE4F1CC"/>
      </patternFill>
    </fill>
    <fill>
      <patternFill patternType="solid">
        <fgColor rgb="FFE8E8E8"/>
        <bgColor indexed="64"/>
      </patternFill>
    </fill>
    <fill>
      <patternFill patternType="solid">
        <fgColor rgb="FFFFEB9C"/>
        <bgColor indexed="48"/>
      </patternFill>
    </fill>
    <fill>
      <patternFill patternType="solid">
        <fgColor rgb="FFE4F1CC"/>
        <bgColor indexed="64"/>
      </patternFill>
    </fill>
    <fill>
      <patternFill patternType="solid">
        <fgColor theme="8" tint="0.79998168889431442"/>
        <bgColor indexed="64"/>
      </patternFill>
    </fill>
    <fill>
      <patternFill patternType="solid">
        <fgColor indexed="60"/>
        <bgColor indexed="64"/>
      </patternFill>
    </fill>
    <fill>
      <patternFill patternType="solid">
        <fgColor indexed="53"/>
        <bgColor indexed="64"/>
      </patternFill>
    </fill>
    <fill>
      <patternFill patternType="solid">
        <fgColor indexed="23"/>
        <bgColor indexed="64"/>
      </patternFill>
    </fill>
    <fill>
      <patternFill patternType="solid">
        <fgColor indexed="39"/>
        <bgColor indexed="64"/>
      </patternFill>
    </fill>
    <fill>
      <patternFill patternType="solid">
        <fgColor indexed="38"/>
        <bgColor indexed="64"/>
      </patternFill>
    </fill>
    <fill>
      <patternFill patternType="solid">
        <fgColor indexed="63"/>
        <bgColor indexed="64"/>
      </patternFill>
    </fill>
    <fill>
      <patternFill patternType="solid">
        <fgColor rgb="FFD1339D"/>
        <bgColor indexed="64"/>
      </patternFill>
    </fill>
    <fill>
      <patternFill patternType="solid">
        <fgColor rgb="FF8E58B7"/>
        <bgColor indexed="64"/>
      </patternFill>
    </fill>
    <fill>
      <patternFill patternType="solid">
        <fgColor rgb="FF50458F"/>
        <bgColor indexed="64"/>
      </patternFill>
    </fill>
    <fill>
      <patternFill patternType="solid">
        <fgColor indexed="31"/>
        <bgColor indexed="64"/>
      </patternFill>
    </fill>
    <fill>
      <patternFill patternType="solid">
        <fgColor indexed="30"/>
        <bgColor indexed="64"/>
      </patternFill>
    </fill>
    <fill>
      <patternFill patternType="solid">
        <fgColor rgb="FFE5E533"/>
        <bgColor indexed="64"/>
      </patternFill>
    </fill>
    <fill>
      <patternFill patternType="solid">
        <fgColor indexed="59"/>
        <bgColor indexed="64"/>
      </patternFill>
    </fill>
    <fill>
      <patternFill patternType="solid">
        <fgColor rgb="FFAA82C9"/>
        <bgColor indexed="64"/>
      </patternFill>
    </fill>
    <fill>
      <patternFill patternType="solid">
        <fgColor indexed="54"/>
        <bgColor indexed="64"/>
      </patternFill>
    </fill>
    <fill>
      <patternFill patternType="solid">
        <fgColor indexed="9"/>
        <bgColor indexed="64"/>
      </patternFill>
    </fill>
    <fill>
      <patternFill patternType="solid">
        <fgColor indexed="46"/>
        <bgColor indexed="64"/>
      </patternFill>
    </fill>
    <fill>
      <patternFill patternType="solid">
        <fgColor rgb="FFE899CE"/>
        <bgColor indexed="64"/>
      </patternFill>
    </fill>
    <fill>
      <patternFill patternType="solid">
        <fgColor indexed="19"/>
        <bgColor indexed="64"/>
      </patternFill>
    </fill>
    <fill>
      <patternFill patternType="solid">
        <fgColor indexed="12"/>
        <bgColor indexed="64"/>
      </patternFill>
    </fill>
    <fill>
      <patternFill patternType="solid">
        <fgColor indexed="22"/>
        <bgColor indexed="64"/>
      </patternFill>
    </fill>
    <fill>
      <patternFill patternType="solid">
        <fgColor indexed="61"/>
        <bgColor indexed="64"/>
      </patternFill>
    </fill>
    <fill>
      <patternFill patternType="solid">
        <fgColor theme="5"/>
        <bgColor indexed="64"/>
      </patternFill>
    </fill>
    <fill>
      <patternFill patternType="solid">
        <fgColor rgb="FF25547F"/>
        <bgColor indexed="64"/>
      </patternFill>
    </fill>
    <fill>
      <patternFill patternType="solid">
        <fgColor rgb="FF4B7DAA"/>
        <bgColor indexed="64"/>
      </patternFill>
    </fill>
    <fill>
      <patternFill patternType="solid">
        <fgColor rgb="FF70A5D4"/>
        <bgColor indexed="64"/>
      </patternFill>
    </fill>
    <fill>
      <patternFill patternType="solid">
        <fgColor rgb="FF00707C"/>
        <bgColor rgb="FF95C633"/>
      </patternFill>
    </fill>
    <fill>
      <patternFill patternType="solid">
        <fgColor rgb="FF008795"/>
        <bgColor indexed="64"/>
      </patternFill>
    </fill>
    <fill>
      <patternFill patternType="solid">
        <fgColor rgb="FF009DAF"/>
        <bgColor indexed="64"/>
      </patternFill>
    </fill>
    <fill>
      <patternFill patternType="solid">
        <fgColor rgb="FFF3715A"/>
        <bgColor indexed="64"/>
      </patternFill>
    </fill>
    <fill>
      <patternFill patternType="solid">
        <fgColor rgb="FFF69583"/>
        <bgColor indexed="64"/>
      </patternFill>
    </fill>
    <fill>
      <patternFill patternType="solid">
        <fgColor rgb="FFF9B8AD"/>
        <bgColor indexed="64"/>
      </patternFill>
    </fill>
    <fill>
      <patternFill patternType="solid">
        <fgColor rgb="FFC1D8D7"/>
        <bgColor indexed="64"/>
      </patternFill>
    </fill>
    <fill>
      <patternFill patternType="solid">
        <fgColor rgb="FFD1E2E1"/>
        <bgColor indexed="64"/>
      </patternFill>
    </fill>
    <fill>
      <patternFill patternType="solid">
        <fgColor rgb="FFE0EBEB"/>
        <bgColor indexed="64"/>
      </patternFill>
    </fill>
    <fill>
      <patternFill patternType="solid">
        <fgColor rgb="FFD9BC7D"/>
        <bgColor indexed="64"/>
      </patternFill>
    </fill>
    <fill>
      <patternFill patternType="solid">
        <fgColor rgb="FFB49553"/>
        <bgColor indexed="64"/>
      </patternFill>
    </fill>
    <fill>
      <patternFill patternType="solid">
        <fgColor rgb="FF8E6D2A"/>
        <bgColor indexed="64"/>
      </patternFill>
    </fill>
    <fill>
      <patternFill patternType="solid">
        <fgColor theme="9"/>
        <bgColor indexed="64"/>
      </patternFill>
    </fill>
    <fill>
      <patternFill patternType="solid">
        <fgColor theme="0" tint="-0.499984740745262"/>
        <bgColor indexed="64"/>
      </patternFill>
    </fill>
    <fill>
      <patternFill patternType="solid">
        <fgColor theme="0" tint="-0.24994659260841701"/>
        <bgColor indexed="64"/>
      </patternFill>
    </fill>
    <fill>
      <patternFill patternType="solid">
        <fgColor theme="0" tint="-4.9989318521683403E-2"/>
        <bgColor indexed="64"/>
      </patternFill>
    </fill>
    <fill>
      <patternFill patternType="solid">
        <fgColor theme="0"/>
        <bgColor indexed="64"/>
      </patternFill>
    </fill>
    <fill>
      <patternFill patternType="solid">
        <fgColor rgb="FF005861"/>
        <bgColor indexed="64"/>
      </patternFill>
    </fill>
    <fill>
      <patternFill patternType="solid">
        <fgColor theme="8"/>
        <bgColor indexed="64"/>
      </patternFill>
    </fill>
    <fill>
      <patternFill patternType="solid">
        <fgColor theme="8" tint="0.59999389629810485"/>
        <bgColor indexed="64"/>
      </patternFill>
    </fill>
    <fill>
      <patternFill patternType="solid">
        <fgColor theme="9" tint="0.79998168889431442"/>
        <bgColor indexed="64"/>
      </patternFill>
    </fill>
    <fill>
      <patternFill patternType="solid">
        <fgColor rgb="FFE7F7FD"/>
        <bgColor theme="8" tint="0.79998168889431442"/>
      </patternFill>
    </fill>
    <fill>
      <patternFill patternType="solid">
        <fgColor rgb="FFE7F7FD"/>
        <bgColor indexed="64"/>
      </patternFill>
    </fill>
    <fill>
      <patternFill patternType="solid">
        <fgColor rgb="FFECF9E7"/>
        <bgColor indexed="64"/>
      </patternFill>
    </fill>
  </fills>
  <borders count="54">
    <border>
      <left/>
      <right/>
      <top/>
      <bottom/>
      <diagonal/>
    </border>
    <border>
      <left style="hair">
        <color indexed="13"/>
      </left>
      <right style="hair">
        <color indexed="13"/>
      </right>
      <top style="hair">
        <color indexed="13"/>
      </top>
      <bottom style="hair">
        <color indexed="13"/>
      </bottom>
      <diagonal/>
    </border>
    <border>
      <left style="hair">
        <color indexed="43"/>
      </left>
      <right style="hair">
        <color indexed="43"/>
      </right>
      <top style="hair">
        <color indexed="43"/>
      </top>
      <bottom style="hair">
        <color indexed="43"/>
      </bottom>
      <diagonal/>
    </border>
    <border>
      <left style="dotted">
        <color rgb="FFE8E8E8"/>
      </left>
      <right style="dotted">
        <color rgb="FFE8E8E8"/>
      </right>
      <top style="dotted">
        <color rgb="FFE8E8E8"/>
      </top>
      <bottom style="dotted">
        <color rgb="FFE8E8E8"/>
      </bottom>
      <diagonal/>
    </border>
    <border>
      <left/>
      <right/>
      <top/>
      <bottom style="medium">
        <color theme="5"/>
      </bottom>
      <diagonal/>
    </border>
    <border>
      <left/>
      <right/>
      <top/>
      <bottom style="thin">
        <color theme="6"/>
      </bottom>
      <diagonal/>
    </border>
    <border>
      <left style="dotted">
        <color theme="5"/>
      </left>
      <right style="dotted">
        <color theme="5"/>
      </right>
      <top style="thin">
        <color theme="5"/>
      </top>
      <bottom style="medium">
        <color theme="5"/>
      </bottom>
      <diagonal/>
    </border>
    <border>
      <left/>
      <right/>
      <top/>
      <bottom style="thick">
        <color rgb="FFB2CECD"/>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14999847407452621"/>
      </right>
      <top style="thin">
        <color theme="0" tint="-0.14999847407452621"/>
      </top>
      <bottom/>
      <diagonal/>
    </border>
    <border>
      <left style="thin">
        <color theme="0" tint="-0.14999847407452621"/>
      </left>
      <right style="thin">
        <color theme="0" tint="-0.14999847407452621"/>
      </right>
      <top/>
      <bottom/>
      <diagonal/>
    </border>
    <border>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bottom/>
      <diagonal/>
    </border>
    <border>
      <left style="thin">
        <color theme="1" tint="0.499984740745262"/>
      </left>
      <right style="thin">
        <color theme="0" tint="-0.14999847407452621"/>
      </right>
      <top/>
      <bottom style="thin">
        <color theme="1" tint="0.499984740745262"/>
      </bottom>
      <diagonal/>
    </border>
    <border>
      <left style="thin">
        <color theme="0" tint="-0.14999847407452621"/>
      </left>
      <right style="thin">
        <color theme="0" tint="-0.14999847407452621"/>
      </right>
      <top/>
      <bottom style="thin">
        <color theme="1" tint="0.499984740745262"/>
      </bottom>
      <diagonal/>
    </border>
    <border>
      <left style="thin">
        <color theme="0" tint="-0.14999847407452621"/>
      </left>
      <right style="thin">
        <color theme="0" tint="-0.14999847407452621"/>
      </right>
      <top style="thin">
        <color theme="0" tint="-0.14999847407452621"/>
      </top>
      <bottom style="thin">
        <color theme="1" tint="0.499984740745262"/>
      </bottom>
      <diagonal/>
    </border>
    <border>
      <left style="thin">
        <color theme="1" tint="0.499984740745262"/>
      </left>
      <right style="thin">
        <color theme="0" tint="-0.14999847407452621"/>
      </right>
      <top style="thin">
        <color theme="1" tint="0.499984740745262"/>
      </top>
      <bottom style="thin">
        <color theme="1" tint="0.499984740745262"/>
      </bottom>
      <diagonal/>
    </border>
    <border>
      <left style="thin">
        <color theme="0" tint="-0.14999847407452621"/>
      </left>
      <right style="thin">
        <color theme="0" tint="-0.14999847407452621"/>
      </right>
      <top style="thin">
        <color theme="1" tint="0.499984740745262"/>
      </top>
      <bottom style="thin">
        <color theme="1" tint="0.499984740745262"/>
      </bottom>
      <diagonal/>
    </border>
    <border>
      <left style="thin">
        <color theme="1" tint="0.499984740745262"/>
      </left>
      <right style="thin">
        <color theme="0" tint="-0.14999847407452621"/>
      </right>
      <top style="thin">
        <color theme="1" tint="0.499984740745262"/>
      </top>
      <bottom style="thin">
        <color theme="0" tint="-0.14999847407452621"/>
      </bottom>
      <diagonal/>
    </border>
    <border>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1" tint="0.499984740745262"/>
      </top>
      <bottom style="thin">
        <color theme="1" tint="0.499984740745262"/>
      </bottom>
      <diagonal/>
    </border>
    <border>
      <left/>
      <right style="thin">
        <color theme="0" tint="-0.14999847407452621"/>
      </right>
      <top/>
      <bottom/>
      <diagonal/>
    </border>
    <border>
      <left style="thin">
        <color theme="0" tint="-0.14999847407452621"/>
      </left>
      <right/>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14999847407452621"/>
      </left>
      <right style="thin">
        <color theme="0" tint="-0.14999847407452621"/>
      </right>
      <top/>
      <bottom style="thin">
        <color theme="0" tint="-0.14999847407452621"/>
      </bottom>
      <diagonal/>
    </border>
    <border>
      <left style="thin">
        <color theme="0" tint="-0.14999847407452621"/>
      </left>
      <right/>
      <top/>
      <bottom style="thin">
        <color theme="0" tint="-0.14999847407452621"/>
      </bottom>
      <diagonal/>
    </border>
    <border>
      <left/>
      <right style="thin">
        <color theme="0" tint="-0.14999847407452621"/>
      </right>
      <top/>
      <bottom style="thin">
        <color theme="0" tint="-0.14999847407452621"/>
      </bottom>
      <diagonal/>
    </border>
    <border>
      <left/>
      <right/>
      <top style="thin">
        <color theme="1" tint="0.499984740745262"/>
      </top>
      <bottom/>
      <diagonal/>
    </border>
    <border>
      <left/>
      <right/>
      <top/>
      <bottom style="thin">
        <color theme="1" tint="0.499984740745262"/>
      </bottom>
      <diagonal/>
    </border>
    <border>
      <left/>
      <right style="thin">
        <color theme="0" tint="-0.249977111117893"/>
      </right>
      <top style="thin">
        <color theme="1" tint="0.499984740745262"/>
      </top>
      <bottom/>
      <diagonal/>
    </border>
    <border>
      <left/>
      <right style="thin">
        <color theme="0" tint="-0.249977111117893"/>
      </right>
      <top/>
      <bottom/>
      <diagonal/>
    </border>
    <border>
      <left/>
      <right style="thin">
        <color theme="0" tint="-0.249977111117893"/>
      </right>
      <top/>
      <bottom style="thin">
        <color theme="1" tint="0.499984740745262"/>
      </bottom>
      <diagonal/>
    </border>
    <border>
      <left style="thin">
        <color theme="0" tint="-0.249977111117893"/>
      </left>
      <right style="thin">
        <color theme="0" tint="-0.249977111117893"/>
      </right>
      <top style="thin">
        <color theme="1" tint="0.499984740745262"/>
      </top>
      <bottom/>
      <diagonal/>
    </border>
    <border>
      <left style="thin">
        <color theme="0" tint="-0.249977111117893"/>
      </left>
      <right style="thin">
        <color theme="0" tint="-0.249977111117893"/>
      </right>
      <top/>
      <bottom/>
      <diagonal/>
    </border>
    <border>
      <left style="thin">
        <color theme="0" tint="-0.249977111117893"/>
      </left>
      <right style="thin">
        <color theme="0" tint="-0.249977111117893"/>
      </right>
      <top/>
      <bottom style="thin">
        <color theme="1" tint="0.499984740745262"/>
      </bottom>
      <diagonal/>
    </border>
    <border>
      <left style="thin">
        <color theme="1" tint="0.499984740745262"/>
      </left>
      <right style="thin">
        <color theme="0" tint="-0.14999847407452621"/>
      </right>
      <top/>
      <bottom style="thin">
        <color theme="0" tint="-0.14999847407452621"/>
      </bottom>
      <diagonal/>
    </border>
    <border>
      <left/>
      <right style="thin">
        <color theme="0" tint="-0.14999847407452621"/>
      </right>
      <top/>
      <bottom style="thin">
        <color theme="1" tint="0.499984740745262"/>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83">
    <xf numFmtId="0" fontId="0" fillId="0" borderId="0"/>
    <xf numFmtId="0" fontId="20" fillId="43" borderId="0" applyNumberFormat="0" applyBorder="0" applyAlignment="0" applyProtection="0"/>
    <xf numFmtId="0" fontId="20" fillId="46" borderId="0" applyNumberFormat="0" applyBorder="0" applyAlignment="0" applyProtection="0"/>
    <xf numFmtId="0" fontId="20" fillId="49" borderId="0" applyNumberFormat="0" applyBorder="0" applyAlignment="0" applyProtection="0"/>
    <xf numFmtId="0" fontId="20" fillId="52" borderId="0" applyNumberFormat="0" applyBorder="0" applyAlignment="0" applyProtection="0"/>
    <xf numFmtId="0" fontId="20" fillId="55" borderId="0" applyNumberFormat="0" applyBorder="0" applyAlignment="0" applyProtection="0"/>
    <xf numFmtId="0" fontId="5" fillId="59" borderId="0" applyNumberFormat="0" applyBorder="0" applyAlignment="0" applyProtection="0"/>
    <xf numFmtId="0" fontId="20" fillId="42" borderId="0" applyNumberFormat="0" applyBorder="0" applyAlignment="0" applyProtection="0"/>
    <xf numFmtId="0" fontId="21" fillId="45" borderId="0" applyNumberFormat="0" applyBorder="0" applyAlignment="0" applyProtection="0"/>
    <xf numFmtId="0" fontId="20" fillId="48" borderId="0" applyNumberFormat="0" applyBorder="0" applyAlignment="0" applyProtection="0"/>
    <xf numFmtId="0" fontId="20" fillId="51" borderId="0" applyNumberFormat="0" applyBorder="0" applyAlignment="0" applyProtection="0"/>
    <xf numFmtId="0" fontId="20" fillId="54" borderId="0" applyNumberFormat="0" applyBorder="0" applyAlignment="0" applyProtection="0"/>
    <xf numFmtId="0" fontId="5" fillId="58" borderId="0" applyNumberFormat="0" applyBorder="0" applyAlignment="0" applyProtection="0"/>
    <xf numFmtId="0" fontId="21" fillId="41" borderId="0" applyNumberFormat="0" applyBorder="0" applyAlignment="0" applyProtection="0"/>
    <xf numFmtId="0" fontId="21" fillId="44" borderId="0" applyNumberFormat="0" applyBorder="0" applyAlignment="0" applyProtection="0"/>
    <xf numFmtId="0" fontId="21" fillId="47" borderId="0" applyNumberFormat="0" applyBorder="0" applyAlignment="0" applyProtection="0"/>
    <xf numFmtId="0" fontId="19" fillId="50" borderId="0" applyNumberFormat="0" applyBorder="0" applyAlignment="0" applyProtection="0"/>
    <xf numFmtId="0" fontId="19" fillId="53" borderId="0" applyNumberFormat="0" applyBorder="0" applyAlignment="0" applyProtection="0"/>
    <xf numFmtId="0" fontId="2" fillId="57" borderId="0" applyNumberFormat="0" applyBorder="0" applyAlignment="0" applyProtection="0"/>
    <xf numFmtId="0" fontId="21" fillId="5" borderId="0" applyNumberFormat="0" applyBorder="0" applyAlignment="0" applyProtection="0"/>
    <xf numFmtId="0" fontId="21" fillId="6" borderId="0" applyNumberFormat="0" applyBorder="0" applyAlignment="0" applyProtection="0"/>
    <xf numFmtId="0" fontId="6"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1" fillId="56" borderId="0" applyNumberFormat="0" applyBorder="0" applyAlignment="0" applyProtection="0"/>
    <xf numFmtId="0" fontId="3" fillId="10" borderId="0" applyNumberFormat="0" applyBorder="0" applyAlignment="0" applyProtection="0"/>
    <xf numFmtId="0" fontId="3" fillId="11" borderId="3" applyNumberFormat="0" applyAlignment="0" applyProtection="0"/>
    <xf numFmtId="0" fontId="7" fillId="12" borderId="0" applyNumberFormat="0" applyAlignment="0" applyProtection="0"/>
    <xf numFmtId="0" fontId="22" fillId="0" borderId="1" applyNumberFormat="0" applyAlignment="0"/>
    <xf numFmtId="0" fontId="24" fillId="0" borderId="7" applyNumberFormat="0" applyFill="0" applyAlignment="0"/>
    <xf numFmtId="0" fontId="22" fillId="0" borderId="2" applyNumberFormat="0" applyAlignment="0"/>
    <xf numFmtId="0" fontId="23" fillId="40" borderId="0" applyNumberFormat="0" applyBorder="0">
      <alignment wrapText="1"/>
    </xf>
    <xf numFmtId="0" fontId="8" fillId="0" borderId="0" applyNumberFormat="0" applyFill="0" applyBorder="0" applyAlignment="0" applyProtection="0"/>
    <xf numFmtId="0" fontId="9" fillId="0" borderId="0" applyNumberFormat="0" applyFill="0" applyBorder="0" applyAlignment="0" applyProtection="0">
      <alignment vertical="top"/>
      <protection locked="0"/>
    </xf>
    <xf numFmtId="0" fontId="5" fillId="13" borderId="0" applyNumberFormat="0" applyBorder="0" applyAlignment="0" applyProtection="0"/>
    <xf numFmtId="0" fontId="10" fillId="0" borderId="4" applyNumberFormat="0" applyFill="0" applyAlignment="0" applyProtection="0"/>
    <xf numFmtId="0" fontId="11" fillId="0" borderId="5" applyNumberFormat="0" applyFill="0" applyAlignment="0" applyProtection="0"/>
    <xf numFmtId="0" fontId="12" fillId="0" borderId="5" applyNumberFormat="0" applyFill="0" applyAlignment="0" applyProtection="0"/>
    <xf numFmtId="0" fontId="13" fillId="0" borderId="0" applyNumberFormat="0" applyBorder="0" applyAlignment="0" applyProtection="0"/>
    <xf numFmtId="0" fontId="14" fillId="0" borderId="0" applyNumberFormat="0" applyFill="0" applyBorder="0" applyAlignment="0" applyProtection="0">
      <alignment vertical="top"/>
      <protection locked="0"/>
    </xf>
    <xf numFmtId="0" fontId="3" fillId="2" borderId="0" applyNumberFormat="0" applyAlignment="0" applyProtection="0"/>
    <xf numFmtId="0" fontId="3" fillId="14" borderId="0" applyNumberFormat="0" applyAlignment="0" applyProtection="0"/>
    <xf numFmtId="0" fontId="5" fillId="15" borderId="0" applyNumberFormat="0" applyBorder="0" applyAlignment="0" applyProtection="0"/>
    <xf numFmtId="0" fontId="8" fillId="0" borderId="0" applyNumberFormat="0" applyAlignment="0" applyProtection="0"/>
    <xf numFmtId="0" fontId="15" fillId="16" borderId="0" applyNumberFormat="0" applyAlignment="0" applyProtection="0"/>
    <xf numFmtId="0" fontId="16" fillId="0" borderId="0" applyNumberFormat="0" applyFill="0" applyBorder="0" applyAlignment="0" applyProtection="0"/>
    <xf numFmtId="0" fontId="17" fillId="0" borderId="6" applyNumberFormat="0" applyFill="0" applyAlignment="0" applyProtection="0"/>
    <xf numFmtId="0" fontId="18" fillId="17"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0" borderId="0" applyNumberFormat="0" applyBorder="0" applyAlignment="0" applyProtection="0"/>
    <xf numFmtId="0" fontId="6" fillId="21" borderId="0" applyNumberFormat="0" applyBorder="0" applyAlignment="0" applyProtection="0"/>
    <xf numFmtId="0" fontId="6" fillId="22" borderId="0" applyNumberFormat="0" applyBorder="0" applyAlignment="0" applyProtection="0"/>
    <xf numFmtId="0" fontId="2" fillId="23" borderId="0" applyNumberFormat="0" applyBorder="0" applyAlignment="0" applyProtection="0"/>
    <xf numFmtId="0" fontId="6" fillId="24" borderId="0" applyNumberFormat="0" applyBorder="0" applyAlignment="0" applyProtection="0"/>
    <xf numFmtId="0" fontId="6" fillId="25"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4" fillId="33" borderId="0" applyNumberFormat="0" applyBorder="0" applyAlignment="0" applyProtection="0"/>
    <xf numFmtId="0" fontId="4" fillId="34" borderId="0" applyNumberFormat="0" applyBorder="0" applyAlignment="0" applyProtection="0"/>
    <xf numFmtId="0" fontId="2" fillId="3" borderId="0" applyNumberFormat="0" applyBorder="0" applyAlignment="0" applyProtection="0"/>
    <xf numFmtId="0" fontId="2" fillId="35" borderId="0" applyNumberFormat="0" applyBorder="0" applyAlignment="0" applyProtection="0"/>
    <xf numFmtId="0" fontId="2" fillId="36" borderId="0" applyNumberFormat="0" applyBorder="0" applyAlignment="0" applyProtection="0"/>
    <xf numFmtId="0" fontId="2" fillId="37" borderId="0" applyNumberFormat="0" applyBorder="0" applyAlignment="0" applyProtection="0"/>
    <xf numFmtId="0" fontId="4" fillId="38" borderId="0" applyNumberFormat="0" applyBorder="0" applyAlignment="0" applyProtection="0"/>
    <xf numFmtId="0" fontId="4" fillId="39" borderId="0" applyNumberFormat="0" applyBorder="0" applyAlignment="0" applyProtection="0"/>
    <xf numFmtId="0" fontId="2" fillId="4" borderId="0" applyNumberFormat="0" applyBorder="0" applyAlignment="0" applyProtection="0"/>
    <xf numFmtId="0" fontId="25" fillId="0" borderId="0"/>
    <xf numFmtId="0" fontId="26" fillId="0" borderId="0" applyNumberFormat="0" applyFill="0" applyBorder="0" applyAlignment="0" applyProtection="0"/>
    <xf numFmtId="0" fontId="1" fillId="0" borderId="0"/>
    <xf numFmtId="9" fontId="25" fillId="0" borderId="0" applyFont="0" applyFill="0" applyBorder="0" applyAlignment="0" applyProtection="0"/>
    <xf numFmtId="0" fontId="1" fillId="0" borderId="0"/>
    <xf numFmtId="0" fontId="1" fillId="0" borderId="0"/>
    <xf numFmtId="0" fontId="2" fillId="10" borderId="0" applyNumberFormat="0" applyBorder="0" applyAlignment="0" applyProtection="0"/>
    <xf numFmtId="0" fontId="2" fillId="11" borderId="3" applyNumberFormat="0" applyAlignment="0" applyProtection="0"/>
    <xf numFmtId="0" fontId="2" fillId="2" borderId="0" applyNumberFormat="0" applyAlignment="0" applyProtection="0"/>
    <xf numFmtId="0" fontId="2" fillId="14" borderId="0" applyNumberFormat="0" applyAlignment="0" applyProtection="0"/>
    <xf numFmtId="0" fontId="22" fillId="0" borderId="0"/>
  </cellStyleXfs>
  <cellXfs count="254">
    <xf numFmtId="0" fontId="0" fillId="0" borderId="0" xfId="0"/>
    <xf numFmtId="0" fontId="24" fillId="0" borderId="7" xfId="29"/>
    <xf numFmtId="0" fontId="27" fillId="40" borderId="9" xfId="31" applyFont="1" applyBorder="1" applyAlignment="1">
      <alignment horizontal="center" vertical="center" wrapText="1"/>
    </xf>
    <xf numFmtId="0" fontId="27" fillId="61" borderId="9" xfId="31" applyFont="1" applyFill="1" applyBorder="1" applyAlignment="1">
      <alignment horizontal="center" vertical="center" wrapText="1"/>
    </xf>
    <xf numFmtId="0" fontId="30" fillId="0" borderId="14" xfId="30" applyFont="1" applyBorder="1" applyAlignment="1">
      <alignment horizontal="left" vertical="center" wrapText="1"/>
    </xf>
    <xf numFmtId="0" fontId="30" fillId="0" borderId="14" xfId="30" applyNumberFormat="1" applyFont="1" applyBorder="1" applyAlignment="1">
      <alignment horizontal="center" vertical="center" wrapText="1"/>
    </xf>
    <xf numFmtId="0" fontId="30" fillId="0" borderId="14" xfId="31" applyFont="1" applyFill="1" applyBorder="1" applyAlignment="1">
      <alignment horizontal="center" vertical="center" wrapText="1"/>
    </xf>
    <xf numFmtId="0" fontId="30" fillId="0" borderId="8" xfId="30" applyFont="1" applyBorder="1" applyAlignment="1">
      <alignment horizontal="left" vertical="center" wrapText="1"/>
    </xf>
    <xf numFmtId="0" fontId="30" fillId="0" borderId="8" xfId="30" applyNumberFormat="1" applyFont="1" applyBorder="1" applyAlignment="1">
      <alignment horizontal="center" vertical="center" wrapText="1"/>
    </xf>
    <xf numFmtId="0" fontId="30" fillId="0" borderId="8" xfId="31" applyFont="1" applyFill="1" applyBorder="1" applyAlignment="1">
      <alignment horizontal="center" vertical="center" wrapText="1"/>
    </xf>
    <xf numFmtId="0" fontId="30" fillId="0" borderId="18" xfId="30" applyFont="1" applyBorder="1" applyAlignment="1">
      <alignment horizontal="left" vertical="center" wrapText="1"/>
    </xf>
    <xf numFmtId="0" fontId="30" fillId="0" borderId="18" xfId="30" applyNumberFormat="1" applyFont="1" applyBorder="1" applyAlignment="1">
      <alignment horizontal="center" vertical="center" wrapText="1"/>
    </xf>
    <xf numFmtId="0" fontId="30" fillId="0" borderId="18" xfId="31" applyFont="1" applyFill="1" applyBorder="1" applyAlignment="1">
      <alignment horizontal="center" vertical="center" wrapText="1"/>
    </xf>
    <xf numFmtId="1" fontId="30" fillId="0" borderId="14" xfId="30" applyNumberFormat="1" applyFont="1" applyBorder="1" applyAlignment="1">
      <alignment horizontal="center" vertical="center" wrapText="1"/>
    </xf>
    <xf numFmtId="0" fontId="28" fillId="0" borderId="0" xfId="0" applyFont="1" applyAlignment="1">
      <alignment vertical="center" wrapText="1"/>
    </xf>
    <xf numFmtId="0" fontId="30" fillId="0" borderId="8" xfId="30" applyFont="1" applyBorder="1" applyAlignment="1">
      <alignment horizontal="center" vertical="center" wrapText="1"/>
    </xf>
    <xf numFmtId="0" fontId="30" fillId="0" borderId="18" xfId="0" applyFont="1" applyBorder="1" applyAlignment="1">
      <alignment horizontal="center" vertical="center" wrapText="1"/>
    </xf>
    <xf numFmtId="0" fontId="30" fillId="0" borderId="14"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4" xfId="0" applyFont="1" applyBorder="1" applyAlignment="1">
      <alignment horizontal="left" vertical="center" wrapText="1"/>
    </xf>
    <xf numFmtId="0" fontId="30" fillId="0" borderId="18" xfId="0" applyFont="1" applyBorder="1" applyAlignment="1">
      <alignment horizontal="left" vertical="center" wrapText="1"/>
    </xf>
    <xf numFmtId="0" fontId="30" fillId="0" borderId="14" xfId="0" applyFont="1" applyBorder="1" applyAlignment="1">
      <alignment horizontal="center" vertical="center" wrapText="1"/>
    </xf>
    <xf numFmtId="0" fontId="30" fillId="0" borderId="8" xfId="0" applyFont="1" applyBorder="1" applyAlignment="1">
      <alignment horizontal="left" vertical="center" wrapText="1"/>
    </xf>
    <xf numFmtId="0" fontId="30" fillId="0" borderId="8" xfId="0" applyFont="1" applyBorder="1" applyAlignment="1">
      <alignment horizontal="center" vertical="center" wrapText="1"/>
    </xf>
    <xf numFmtId="0" fontId="30" fillId="0" borderId="17" xfId="30" applyFont="1" applyBorder="1" applyAlignment="1">
      <alignment horizontal="left" vertical="center" wrapText="1"/>
    </xf>
    <xf numFmtId="0" fontId="30" fillId="0" borderId="20" xfId="30" applyFont="1" applyBorder="1" applyAlignment="1">
      <alignment horizontal="center" vertical="center" wrapText="1"/>
    </xf>
    <xf numFmtId="0" fontId="30" fillId="0" borderId="20" xfId="30" applyFont="1" applyBorder="1" applyAlignment="1">
      <alignment horizontal="left" vertical="center" wrapText="1"/>
    </xf>
    <xf numFmtId="0" fontId="28" fillId="0" borderId="0" xfId="0" applyFont="1" applyAlignment="1">
      <alignment horizontal="left" vertical="center"/>
    </xf>
    <xf numFmtId="0" fontId="28" fillId="0" borderId="0" xfId="0" applyFont="1" applyAlignment="1">
      <alignment horizontal="center" vertical="center"/>
    </xf>
    <xf numFmtId="0" fontId="28" fillId="60" borderId="0" xfId="0" applyFont="1" applyFill="1" applyAlignment="1">
      <alignment vertical="center"/>
    </xf>
    <xf numFmtId="0" fontId="28" fillId="0" borderId="0" xfId="0" applyFont="1" applyAlignment="1">
      <alignment vertical="center"/>
    </xf>
    <xf numFmtId="0" fontId="30" fillId="0" borderId="10" xfId="30" applyNumberFormat="1"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0" xfId="30" applyFont="1" applyBorder="1" applyAlignment="1">
      <alignment horizontal="left" vertical="center" wrapText="1"/>
    </xf>
    <xf numFmtId="0" fontId="30" fillId="0" borderId="29" xfId="30" applyNumberFormat="1" applyFont="1" applyBorder="1" applyAlignment="1">
      <alignment horizontal="center" vertical="center" wrapText="1"/>
    </xf>
    <xf numFmtId="0" fontId="28" fillId="0" borderId="29" xfId="30" applyFont="1" applyBorder="1" applyAlignment="1">
      <alignment horizontal="left" vertical="center" wrapText="1"/>
    </xf>
    <xf numFmtId="0" fontId="30" fillId="0" borderId="29" xfId="30" applyFont="1" applyBorder="1" applyAlignment="1">
      <alignment horizontal="left" vertical="center" wrapText="1"/>
    </xf>
    <xf numFmtId="0" fontId="32" fillId="0" borderId="29" xfId="30" applyFont="1" applyBorder="1" applyAlignment="1">
      <alignment horizontal="left" vertical="center" wrapText="1"/>
    </xf>
    <xf numFmtId="14" fontId="30" fillId="0" borderId="29" xfId="30" applyNumberFormat="1" applyFont="1" applyBorder="1" applyAlignment="1">
      <alignment horizontal="left" vertical="center" wrapText="1"/>
    </xf>
    <xf numFmtId="0" fontId="30" fillId="0" borderId="29" xfId="30" applyFont="1" applyBorder="1" applyAlignment="1">
      <alignment horizontal="center" vertical="center" wrapText="1"/>
    </xf>
    <xf numFmtId="0" fontId="30" fillId="0" borderId="30" xfId="30" applyFont="1" applyBorder="1" applyAlignment="1">
      <alignment horizontal="left" vertical="center" wrapText="1"/>
    </xf>
    <xf numFmtId="0" fontId="30" fillId="0" borderId="30" xfId="30" applyNumberFormat="1" applyFont="1" applyBorder="1" applyAlignment="1">
      <alignment horizontal="center" vertical="center" wrapText="1"/>
    </xf>
    <xf numFmtId="0" fontId="30" fillId="0" borderId="30" xfId="30" applyFont="1" applyBorder="1" applyAlignment="1">
      <alignment horizontal="center" vertical="center" wrapText="1"/>
    </xf>
    <xf numFmtId="0" fontId="30" fillId="0" borderId="17" xfId="0" applyFont="1" applyBorder="1" applyAlignment="1">
      <alignment horizontal="center" vertical="center" wrapText="1"/>
    </xf>
    <xf numFmtId="0" fontId="33" fillId="0" borderId="0" xfId="0" applyFont="1"/>
    <xf numFmtId="0" fontId="30" fillId="0" borderId="13" xfId="30" applyFont="1" applyBorder="1" applyAlignment="1">
      <alignment horizontal="left" vertical="center" wrapText="1"/>
    </xf>
    <xf numFmtId="0" fontId="29" fillId="0" borderId="19" xfId="30" applyFont="1" applyBorder="1" applyAlignment="1">
      <alignment horizontal="center" vertical="center" wrapText="1"/>
    </xf>
    <xf numFmtId="0" fontId="30" fillId="0" borderId="20" xfId="30" applyNumberFormat="1" applyFont="1" applyBorder="1" applyAlignment="1">
      <alignment horizontal="center" vertical="center" wrapText="1"/>
    </xf>
    <xf numFmtId="0" fontId="30" fillId="0" borderId="13" xfId="30" applyNumberFormat="1" applyFont="1" applyBorder="1" applyAlignment="1">
      <alignment horizontal="center" vertical="center" wrapText="1"/>
    </xf>
    <xf numFmtId="0" fontId="30" fillId="0" borderId="17" xfId="30" applyNumberFormat="1" applyFont="1" applyBorder="1" applyAlignment="1">
      <alignment horizontal="center" vertical="center" wrapText="1"/>
    </xf>
    <xf numFmtId="0" fontId="30" fillId="0" borderId="0" xfId="30" applyFont="1" applyBorder="1" applyAlignment="1">
      <alignment horizontal="left" vertical="center" wrapText="1"/>
    </xf>
    <xf numFmtId="0" fontId="30" fillId="0" borderId="17" xfId="0" applyFont="1" applyBorder="1" applyAlignment="1">
      <alignment horizontal="left" vertical="center" wrapText="1"/>
    </xf>
    <xf numFmtId="1" fontId="30" fillId="0" borderId="14" xfId="30" applyNumberFormat="1" applyFont="1" applyBorder="1" applyAlignment="1">
      <alignment horizontal="left" vertical="center" wrapText="1"/>
    </xf>
    <xf numFmtId="0" fontId="29" fillId="0" borderId="19" xfId="0" applyFont="1" applyBorder="1" applyAlignment="1">
      <alignment horizontal="center" vertical="center" wrapText="1"/>
    </xf>
    <xf numFmtId="0" fontId="30" fillId="0" borderId="20" xfId="0" applyFont="1" applyBorder="1" applyAlignment="1">
      <alignment horizontal="center" vertical="center" wrapText="1"/>
    </xf>
    <xf numFmtId="0" fontId="30" fillId="0" borderId="20" xfId="0" applyFont="1" applyBorder="1" applyAlignment="1">
      <alignment horizontal="left" vertical="center" wrapText="1"/>
    </xf>
    <xf numFmtId="0" fontId="30" fillId="0" borderId="8" xfId="31" applyFont="1" applyFill="1" applyBorder="1" applyAlignment="1">
      <alignment horizontal="left" vertical="center" wrapText="1"/>
    </xf>
    <xf numFmtId="0" fontId="30" fillId="0" borderId="18" xfId="31" applyFont="1" applyFill="1" applyBorder="1" applyAlignment="1">
      <alignment horizontal="left" vertical="center" wrapText="1"/>
    </xf>
    <xf numFmtId="0" fontId="30" fillId="0" borderId="18" xfId="0" applyFont="1" applyBorder="1" applyAlignment="1">
      <alignment vertical="center" wrapText="1"/>
    </xf>
    <xf numFmtId="0" fontId="30" fillId="0" borderId="14" xfId="30" applyFont="1" applyBorder="1" applyAlignment="1">
      <alignment vertical="center" wrapText="1"/>
    </xf>
    <xf numFmtId="0" fontId="30" fillId="0" borderId="8" xfId="30" applyFont="1" applyBorder="1" applyAlignment="1">
      <alignment vertical="center" wrapText="1"/>
    </xf>
    <xf numFmtId="0" fontId="30" fillId="0" borderId="0" xfId="0" applyFont="1" applyAlignment="1">
      <alignment vertical="center" wrapText="1"/>
    </xf>
    <xf numFmtId="0" fontId="34" fillId="0" borderId="0" xfId="0" applyFont="1"/>
    <xf numFmtId="0" fontId="29" fillId="0" borderId="15" xfId="30" applyFont="1" applyBorder="1" applyAlignment="1">
      <alignment horizontal="center" vertical="center" wrapText="1"/>
    </xf>
    <xf numFmtId="0" fontId="30" fillId="0" borderId="29" xfId="30" applyFont="1" applyBorder="1" applyAlignment="1">
      <alignment horizontal="right" vertical="center" wrapText="1"/>
    </xf>
    <xf numFmtId="0" fontId="29" fillId="0" borderId="10" xfId="30" applyFont="1" applyBorder="1" applyAlignment="1">
      <alignment horizontal="left" vertical="center" wrapText="1"/>
    </xf>
    <xf numFmtId="0" fontId="29" fillId="0" borderId="20" xfId="30" applyFont="1" applyBorder="1" applyAlignment="1">
      <alignment horizontal="left" vertical="center" wrapText="1"/>
    </xf>
    <xf numFmtId="0" fontId="29" fillId="0" borderId="20" xfId="0" applyFont="1" applyBorder="1" applyAlignment="1">
      <alignment horizontal="left" vertical="center" wrapText="1"/>
    </xf>
    <xf numFmtId="0" fontId="29" fillId="0" borderId="26" xfId="30" applyFont="1" applyBorder="1" applyAlignment="1">
      <alignment horizontal="left" vertical="center" wrapText="1"/>
    </xf>
    <xf numFmtId="0" fontId="32" fillId="0" borderId="0" xfId="0" applyFont="1" applyAlignment="1">
      <alignment horizontal="left" vertical="center"/>
    </xf>
    <xf numFmtId="0" fontId="22" fillId="0" borderId="0" xfId="82"/>
    <xf numFmtId="0" fontId="30" fillId="0" borderId="14" xfId="31" applyFont="1" applyFill="1" applyBorder="1" applyAlignment="1">
      <alignment vertical="center" wrapText="1"/>
      <extLst>
        <ext xmlns:xfpb="http://schemas.microsoft.com/office/spreadsheetml/2022/featurepropertybag" uri="{C7286773-470A-42A8-94C5-96B5CB345126}">
          <xfpb:xfComplement i="0"/>
        </ext>
      </extLst>
    </xf>
    <xf numFmtId="0" fontId="30" fillId="0" borderId="8" xfId="31" applyFont="1" applyFill="1" applyBorder="1" applyAlignment="1">
      <alignment vertical="center" wrapText="1"/>
      <extLst>
        <ext xmlns:xfpb="http://schemas.microsoft.com/office/spreadsheetml/2022/featurepropertybag" uri="{C7286773-470A-42A8-94C5-96B5CB345126}">
          <xfpb:xfComplement i="0"/>
        </ext>
      </extLst>
    </xf>
    <xf numFmtId="0" fontId="30" fillId="0" borderId="18" xfId="31" applyFont="1" applyFill="1" applyBorder="1" applyAlignment="1">
      <alignment vertical="center" wrapText="1"/>
      <extLst>
        <ext xmlns:xfpb="http://schemas.microsoft.com/office/spreadsheetml/2022/featurepropertybag" uri="{C7286773-470A-42A8-94C5-96B5CB345126}">
          <xfpb:xfComplement i="0"/>
        </ext>
      </extLst>
    </xf>
    <xf numFmtId="1" fontId="30" fillId="0" borderId="14"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8"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8"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8"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8" xfId="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8"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4"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0" xfId="30" applyNumberFormat="1" applyFont="1" applyBorder="1" applyAlignment="1">
      <alignment vertical="center" wrapText="1"/>
    </xf>
    <xf numFmtId="0" fontId="30" fillId="0" borderId="29" xfId="30" applyNumberFormat="1" applyFont="1" applyBorder="1" applyAlignment="1">
      <alignment vertical="center" wrapText="1"/>
    </xf>
    <xf numFmtId="0" fontId="30" fillId="0" borderId="10"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8" xfId="0" applyFont="1" applyBorder="1" applyAlignment="1">
      <alignment vertical="center" wrapText="1"/>
      <extLst>
        <ext xmlns:xfpb="http://schemas.microsoft.com/office/spreadsheetml/2022/featurepropertybag" uri="{C7286773-470A-42A8-94C5-96B5CB345126}">
          <xfpb:xfComplement i="0"/>
        </ext>
      </extLst>
    </xf>
    <xf numFmtId="0" fontId="30" fillId="0" borderId="0" xfId="0" applyFont="1" applyAlignment="1">
      <alignment vertical="center"/>
      <extLst>
        <ext xmlns:xfpb="http://schemas.microsoft.com/office/spreadsheetml/2022/featurepropertybag" uri="{C7286773-470A-42A8-94C5-96B5CB345126}">
          <xfpb:xfComplement i="0"/>
        </ext>
      </extLst>
    </xf>
    <xf numFmtId="1" fontId="30" fillId="0" borderId="14" xfId="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8" xfId="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8" xfId="0" applyFont="1" applyBorder="1" applyAlignment="1">
      <alignment vertical="center" wrapText="1"/>
      <extLst>
        <ext xmlns:xfpb="http://schemas.microsoft.com/office/spreadsheetml/2022/featurepropertybag" uri="{C7286773-470A-42A8-94C5-96B5CB345126}">
          <xfpb:xfComplement i="0"/>
        </ext>
      </extLst>
    </xf>
    <xf numFmtId="0" fontId="30" fillId="0" borderId="30"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20" xfId="30" applyNumberFormat="1" applyFont="1" applyBorder="1" applyAlignment="1">
      <alignment vertical="center" wrapText="1"/>
    </xf>
    <xf numFmtId="1" fontId="30" fillId="0" borderId="27"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29" xfId="30" applyFont="1" applyBorder="1" applyAlignment="1">
      <alignment vertical="center" wrapText="1"/>
      <extLst>
        <ext xmlns:xfpb="http://schemas.microsoft.com/office/spreadsheetml/2022/featurepropertybag" uri="{C7286773-470A-42A8-94C5-96B5CB345126}">
          <xfpb:xfComplement i="0"/>
        </ext>
      </extLst>
    </xf>
    <xf numFmtId="1" fontId="30" fillId="0" borderId="17"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0" xfId="30" applyNumberFormat="1" applyFont="1" applyBorder="1" applyAlignment="1">
      <alignment vertical="center" wrapText="1"/>
    </xf>
    <xf numFmtId="0" fontId="30" fillId="0" borderId="32"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0"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29"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30"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62" borderId="14" xfId="30" applyFont="1" applyFill="1" applyBorder="1" applyAlignment="1">
      <alignment horizontal="left" vertical="center" wrapText="1"/>
    </xf>
    <xf numFmtId="0" fontId="30" fillId="62" borderId="18" xfId="30" applyFont="1" applyFill="1" applyBorder="1" applyAlignment="1">
      <alignment horizontal="left" vertical="center" wrapText="1"/>
    </xf>
    <xf numFmtId="0" fontId="30" fillId="62" borderId="8" xfId="30" applyFont="1" applyFill="1" applyBorder="1" applyAlignment="1">
      <alignment horizontal="left" vertical="center" wrapText="1"/>
    </xf>
    <xf numFmtId="0" fontId="30" fillId="62" borderId="13" xfId="30" applyFont="1" applyFill="1" applyBorder="1" applyAlignment="1">
      <alignment horizontal="left" vertical="center" wrapText="1"/>
    </xf>
    <xf numFmtId="0" fontId="30" fillId="62" borderId="17" xfId="30" applyFont="1" applyFill="1" applyBorder="1" applyAlignment="1">
      <alignment horizontal="left" vertical="center" wrapText="1"/>
    </xf>
    <xf numFmtId="1" fontId="30" fillId="0" borderId="17" xfId="0" applyNumberFormat="1" applyFont="1" applyBorder="1" applyAlignment="1">
      <alignment vertical="center" wrapText="1"/>
    </xf>
    <xf numFmtId="0" fontId="29" fillId="0" borderId="16" xfId="30" applyFont="1" applyBorder="1" applyAlignment="1">
      <alignment horizontal="center" vertical="center" wrapText="1"/>
    </xf>
    <xf numFmtId="0" fontId="29" fillId="0" borderId="42" xfId="30" applyFont="1" applyBorder="1" applyAlignment="1">
      <alignment horizontal="left" vertical="center" wrapText="1"/>
    </xf>
    <xf numFmtId="0" fontId="30" fillId="62" borderId="30" xfId="30" applyFont="1" applyFill="1" applyBorder="1" applyAlignment="1">
      <alignment horizontal="left" vertical="center" wrapText="1"/>
    </xf>
    <xf numFmtId="1" fontId="30" fillId="0" borderId="17" xfId="30" applyNumberFormat="1" applyFont="1" applyBorder="1" applyAlignment="1">
      <alignment vertical="center" wrapText="1"/>
    </xf>
    <xf numFmtId="0" fontId="28" fillId="63" borderId="10" xfId="30" applyFont="1" applyFill="1" applyBorder="1" applyAlignment="1">
      <alignment horizontal="center" vertical="center"/>
    </xf>
    <xf numFmtId="0" fontId="28" fillId="64" borderId="0" xfId="30" applyFont="1" applyFill="1" applyBorder="1" applyAlignment="1">
      <alignment horizontal="center" vertical="center"/>
    </xf>
    <xf numFmtId="0" fontId="28" fillId="64" borderId="45" xfId="30" applyFont="1" applyFill="1" applyBorder="1" applyAlignment="1">
      <alignment horizontal="center" vertical="center"/>
    </xf>
    <xf numFmtId="0" fontId="28" fillId="63" borderId="43" xfId="30" applyFont="1" applyFill="1" applyBorder="1" applyAlignment="1">
      <alignment horizontal="center" vertical="center"/>
    </xf>
    <xf numFmtId="0" fontId="28" fillId="0" borderId="0" xfId="0" applyFont="1" applyAlignment="1">
      <alignment horizontal="left"/>
    </xf>
    <xf numFmtId="0" fontId="28" fillId="0" borderId="0" xfId="0" applyFont="1" applyAlignment="1">
      <alignment wrapText="1"/>
    </xf>
    <xf numFmtId="0" fontId="28" fillId="0" borderId="0" xfId="0" applyFont="1"/>
    <xf numFmtId="0" fontId="28" fillId="63" borderId="43" xfId="0" applyFont="1" applyFill="1" applyBorder="1" applyAlignment="1">
      <alignment horizontal="left"/>
    </xf>
    <xf numFmtId="0" fontId="28" fillId="63" borderId="43" xfId="0" applyFont="1" applyFill="1" applyBorder="1" applyAlignment="1">
      <alignment wrapText="1"/>
    </xf>
    <xf numFmtId="0" fontId="28" fillId="63" borderId="43" xfId="0" applyFont="1" applyFill="1" applyBorder="1"/>
    <xf numFmtId="0" fontId="28" fillId="63" borderId="0" xfId="0" applyFont="1" applyFill="1" applyAlignment="1">
      <alignment horizontal="left"/>
    </xf>
    <xf numFmtId="0" fontId="28" fillId="63" borderId="0" xfId="0" applyFont="1" applyFill="1" applyAlignment="1">
      <alignment wrapText="1"/>
    </xf>
    <xf numFmtId="0" fontId="28" fillId="63" borderId="0" xfId="0" applyFont="1" applyFill="1"/>
    <xf numFmtId="0" fontId="28" fillId="64" borderId="0" xfId="0" applyFont="1" applyFill="1" applyAlignment="1">
      <alignment horizontal="left"/>
    </xf>
    <xf numFmtId="0" fontId="28" fillId="64" borderId="0" xfId="0" applyFont="1" applyFill="1" applyAlignment="1">
      <alignment wrapText="1"/>
    </xf>
    <xf numFmtId="0" fontId="28" fillId="64" borderId="0" xfId="0" applyFont="1" applyFill="1"/>
    <xf numFmtId="0" fontId="46" fillId="61" borderId="29" xfId="31" applyFont="1" applyFill="1" applyBorder="1">
      <alignment wrapText="1"/>
    </xf>
    <xf numFmtId="0" fontId="47" fillId="0" borderId="29" xfId="0" applyFont="1" applyBorder="1" applyAlignment="1">
      <alignment horizontal="left" vertical="center"/>
    </xf>
    <xf numFmtId="0" fontId="48" fillId="0" borderId="29" xfId="0" applyFont="1" applyBorder="1" applyAlignment="1">
      <alignment vertical="center" wrapText="1"/>
    </xf>
    <xf numFmtId="0" fontId="48" fillId="0" borderId="29" xfId="0" applyFont="1" applyBorder="1" applyAlignment="1">
      <alignment vertical="center"/>
    </xf>
    <xf numFmtId="0" fontId="47" fillId="0" borderId="29" xfId="0" applyFont="1" applyBorder="1" applyAlignment="1">
      <alignment horizontal="left" vertical="center" wrapText="1"/>
    </xf>
    <xf numFmtId="0" fontId="51" fillId="0" borderId="0" xfId="0" applyFont="1"/>
    <xf numFmtId="0" fontId="48" fillId="0" borderId="29" xfId="0" applyFont="1" applyBorder="1"/>
    <xf numFmtId="0" fontId="48" fillId="0" borderId="29" xfId="0" applyFont="1" applyBorder="1" applyAlignment="1">
      <alignment wrapText="1"/>
    </xf>
    <xf numFmtId="0" fontId="24" fillId="0" borderId="7" xfId="29" applyAlignment="1">
      <alignment horizontal="left"/>
    </xf>
    <xf numFmtId="0" fontId="27" fillId="61" borderId="29" xfId="31" applyFont="1" applyFill="1" applyBorder="1" applyAlignment="1">
      <alignment horizontal="left" wrapText="1"/>
    </xf>
    <xf numFmtId="0" fontId="52" fillId="0" borderId="7" xfId="29" applyFont="1"/>
    <xf numFmtId="0" fontId="53" fillId="61" borderId="44" xfId="0" applyFont="1" applyFill="1" applyBorder="1" applyAlignment="1">
      <alignment horizontal="left"/>
    </xf>
    <xf numFmtId="0" fontId="54" fillId="61" borderId="44" xfId="0" applyFont="1" applyFill="1" applyBorder="1" applyAlignment="1">
      <alignment horizontal="left"/>
    </xf>
    <xf numFmtId="0" fontId="54" fillId="61" borderId="44" xfId="0" applyFont="1" applyFill="1" applyBorder="1"/>
    <xf numFmtId="0" fontId="32" fillId="0" borderId="44" xfId="0" applyFont="1" applyBorder="1" applyAlignment="1">
      <alignment horizontal="left"/>
    </xf>
    <xf numFmtId="0" fontId="30" fillId="0" borderId="44" xfId="0" applyFont="1" applyBorder="1" applyAlignment="1">
      <alignment horizontal="left"/>
    </xf>
    <xf numFmtId="0" fontId="28" fillId="0" borderId="44" xfId="0" applyFont="1" applyBorder="1" applyAlignment="1">
      <alignment horizontal="left"/>
    </xf>
    <xf numFmtId="0" fontId="38" fillId="0" borderId="0" xfId="0" applyFont="1" applyAlignment="1">
      <alignment wrapText="1"/>
    </xf>
    <xf numFmtId="0" fontId="40" fillId="0" borderId="7" xfId="29" applyFont="1" applyAlignment="1">
      <alignment wrapText="1"/>
    </xf>
    <xf numFmtId="0" fontId="0" fillId="0" borderId="0" xfId="0" applyAlignment="1">
      <alignment wrapText="1"/>
    </xf>
    <xf numFmtId="0" fontId="41" fillId="0" borderId="0" xfId="0" applyFont="1" applyAlignment="1">
      <alignment wrapText="1"/>
    </xf>
    <xf numFmtId="0" fontId="42" fillId="61" borderId="46" xfId="0" applyFont="1" applyFill="1" applyBorder="1" applyAlignment="1">
      <alignment horizontal="left" wrapText="1"/>
    </xf>
    <xf numFmtId="0" fontId="43" fillId="61" borderId="48" xfId="0" applyFont="1" applyFill="1" applyBorder="1" applyAlignment="1">
      <alignment horizontal="left" wrapText="1"/>
    </xf>
    <xf numFmtId="0" fontId="43" fillId="61" borderId="48" xfId="0" applyFont="1" applyFill="1" applyBorder="1" applyAlignment="1">
      <alignment wrapText="1"/>
    </xf>
    <xf numFmtId="0" fontId="43" fillId="61" borderId="49" xfId="0" applyFont="1" applyFill="1" applyBorder="1" applyAlignment="1">
      <alignment wrapText="1"/>
    </xf>
    <xf numFmtId="164" fontId="41" fillId="0" borderId="44" xfId="0" applyNumberFormat="1" applyFont="1" applyBorder="1" applyAlignment="1">
      <alignment horizontal="left" wrapText="1"/>
    </xf>
    <xf numFmtId="164" fontId="41" fillId="0" borderId="0" xfId="0" applyNumberFormat="1" applyFont="1" applyAlignment="1">
      <alignment horizontal="left" wrapText="1"/>
    </xf>
    <xf numFmtId="164" fontId="55" fillId="0" borderId="44" xfId="0" applyNumberFormat="1" applyFont="1" applyBorder="1" applyAlignment="1">
      <alignment horizontal="left" wrapText="1"/>
    </xf>
    <xf numFmtId="0" fontId="44" fillId="65" borderId="50" xfId="0" applyFont="1" applyFill="1" applyBorder="1" applyAlignment="1">
      <alignment horizontal="left" wrapText="1"/>
    </xf>
    <xf numFmtId="0" fontId="44" fillId="66" borderId="44" xfId="0" applyFont="1" applyFill="1" applyBorder="1" applyAlignment="1">
      <alignment horizontal="left" wrapText="1"/>
    </xf>
    <xf numFmtId="0" fontId="44" fillId="66" borderId="44" xfId="0" applyFont="1" applyFill="1" applyBorder="1" applyAlignment="1">
      <alignment wrapText="1"/>
    </xf>
    <xf numFmtId="0" fontId="44" fillId="66" borderId="51" xfId="0" applyFont="1" applyFill="1" applyBorder="1" applyAlignment="1">
      <alignment wrapText="1"/>
    </xf>
    <xf numFmtId="0" fontId="44" fillId="67" borderId="50" xfId="0" applyFont="1" applyFill="1" applyBorder="1" applyAlignment="1">
      <alignment horizontal="left" wrapText="1"/>
    </xf>
    <xf numFmtId="0" fontId="44" fillId="67" borderId="44" xfId="0" applyFont="1" applyFill="1" applyBorder="1" applyAlignment="1">
      <alignment horizontal="left" wrapText="1"/>
    </xf>
    <xf numFmtId="0" fontId="44" fillId="67" borderId="44" xfId="0" applyFont="1" applyFill="1" applyBorder="1" applyAlignment="1">
      <alignment wrapText="1"/>
    </xf>
    <xf numFmtId="0" fontId="44" fillId="67" borderId="51" xfId="0" applyFont="1" applyFill="1" applyBorder="1" applyAlignment="1">
      <alignment wrapText="1"/>
    </xf>
    <xf numFmtId="0" fontId="44" fillId="66" borderId="50" xfId="0" applyFont="1" applyFill="1" applyBorder="1" applyAlignment="1">
      <alignment horizontal="left" wrapText="1"/>
    </xf>
    <xf numFmtId="1" fontId="44" fillId="66" borderId="44" xfId="0" applyNumberFormat="1" applyFont="1" applyFill="1" applyBorder="1" applyAlignment="1">
      <alignment wrapText="1"/>
    </xf>
    <xf numFmtId="1" fontId="44" fillId="67" borderId="44" xfId="0" applyNumberFormat="1" applyFont="1" applyFill="1" applyBorder="1" applyAlignment="1">
      <alignment wrapText="1"/>
    </xf>
    <xf numFmtId="0" fontId="44" fillId="66" borderId="52" xfId="0" applyFont="1" applyFill="1" applyBorder="1" applyAlignment="1">
      <alignment horizontal="left" wrapText="1"/>
    </xf>
    <xf numFmtId="0" fontId="44" fillId="66" borderId="47" xfId="0" applyFont="1" applyFill="1" applyBorder="1" applyAlignment="1">
      <alignment horizontal="left" wrapText="1"/>
    </xf>
    <xf numFmtId="0" fontId="44" fillId="66" borderId="47" xfId="0" applyFont="1" applyFill="1" applyBorder="1" applyAlignment="1">
      <alignment wrapText="1"/>
    </xf>
    <xf numFmtId="1" fontId="44" fillId="66" borderId="47" xfId="0" applyNumberFormat="1" applyFont="1" applyFill="1" applyBorder="1" applyAlignment="1">
      <alignment wrapText="1"/>
    </xf>
    <xf numFmtId="0" fontId="44" fillId="66" borderId="53" xfId="0" applyFont="1" applyFill="1" applyBorder="1" applyAlignment="1">
      <alignment wrapText="1"/>
    </xf>
    <xf numFmtId="0" fontId="56" fillId="66" borderId="44" xfId="0" applyFont="1" applyFill="1" applyBorder="1" applyAlignment="1">
      <alignment wrapText="1"/>
    </xf>
    <xf numFmtId="0" fontId="56" fillId="67" borderId="44" xfId="0" applyFont="1" applyFill="1" applyBorder="1" applyAlignment="1">
      <alignment wrapText="1"/>
    </xf>
    <xf numFmtId="0" fontId="57" fillId="67" borderId="44" xfId="0" applyFont="1" applyFill="1" applyBorder="1" applyAlignment="1">
      <alignment wrapText="1"/>
    </xf>
    <xf numFmtId="0" fontId="56" fillId="66" borderId="47" xfId="0" applyFont="1" applyFill="1" applyBorder="1" applyAlignment="1">
      <alignment wrapText="1"/>
    </xf>
    <xf numFmtId="49" fontId="37" fillId="0" borderId="18" xfId="30" applyNumberFormat="1" applyFont="1" applyBorder="1" applyAlignment="1">
      <alignment horizontal="left" vertical="center" wrapText="1"/>
    </xf>
    <xf numFmtId="0" fontId="30" fillId="0" borderId="13" xfId="30"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3" xfId="30" applyFont="1" applyBorder="1" applyAlignment="1">
      <alignment horizontal="left" vertical="center" wrapText="1"/>
    </xf>
    <xf numFmtId="0" fontId="30" fillId="0" borderId="28" xfId="30" applyFont="1" applyBorder="1" applyAlignment="1">
      <alignment horizontal="left" vertical="center" wrapText="1"/>
    </xf>
    <xf numFmtId="0" fontId="30" fillId="0" borderId="17" xfId="30" applyFont="1" applyBorder="1" applyAlignment="1">
      <alignment horizontal="left" vertical="center" wrapText="1"/>
    </xf>
    <xf numFmtId="0" fontId="30" fillId="0" borderId="13" xfId="0" applyFont="1" applyBorder="1" applyAlignment="1">
      <alignment horizontal="center" vertical="center" wrapText="1"/>
    </xf>
    <xf numFmtId="0" fontId="30" fillId="0" borderId="10" xfId="0" applyFont="1" applyBorder="1" applyAlignment="1">
      <alignment horizontal="center" vertical="center" wrapText="1"/>
    </xf>
    <xf numFmtId="0" fontId="30" fillId="0" borderId="17" xfId="0" applyFont="1" applyBorder="1" applyAlignment="1">
      <alignment horizontal="center" vertical="center" wrapText="1"/>
    </xf>
    <xf numFmtId="0" fontId="30" fillId="0" borderId="38" xfId="30" applyFont="1" applyBorder="1" applyAlignment="1">
      <alignment horizontal="center" vertical="center" wrapText="1"/>
    </xf>
    <xf numFmtId="0" fontId="30" fillId="0" borderId="39" xfId="30" applyFont="1" applyBorder="1" applyAlignment="1">
      <alignment horizontal="center" vertical="center" wrapText="1"/>
    </xf>
    <xf numFmtId="0" fontId="30" fillId="0" borderId="40" xfId="30" applyFont="1" applyBorder="1" applyAlignment="1">
      <alignment horizontal="center" vertical="center" wrapText="1"/>
    </xf>
    <xf numFmtId="0" fontId="29" fillId="0" borderId="12" xfId="31" applyFont="1" applyFill="1" applyBorder="1" applyAlignment="1">
      <alignment horizontal="center" vertical="center" wrapText="1"/>
    </xf>
    <xf numFmtId="0" fontId="29" fillId="0" borderId="16" xfId="31" applyFont="1" applyFill="1" applyBorder="1" applyAlignment="1">
      <alignment horizontal="center" vertical="center" wrapText="1"/>
    </xf>
    <xf numFmtId="0" fontId="29" fillId="0" borderId="12" xfId="30" applyFont="1" applyBorder="1" applyAlignment="1">
      <alignment horizontal="center" vertical="center" wrapText="1"/>
    </xf>
    <xf numFmtId="0" fontId="29" fillId="0" borderId="15" xfId="30" applyFont="1" applyBorder="1" applyAlignment="1">
      <alignment horizontal="center" vertical="center" wrapText="1"/>
    </xf>
    <xf numFmtId="0" fontId="29" fillId="0" borderId="16" xfId="30" applyFont="1" applyBorder="1" applyAlignment="1">
      <alignment horizontal="center" vertical="center" wrapText="1"/>
    </xf>
    <xf numFmtId="0" fontId="29" fillId="0" borderId="14" xfId="30" applyFont="1" applyBorder="1" applyAlignment="1">
      <alignment horizontal="left" vertical="center" wrapText="1"/>
    </xf>
    <xf numFmtId="0" fontId="29" fillId="0" borderId="30" xfId="30" applyFont="1" applyBorder="1" applyAlignment="1">
      <alignment horizontal="left" vertical="center" wrapText="1"/>
    </xf>
    <xf numFmtId="0" fontId="29" fillId="0" borderId="8" xfId="30" applyFont="1" applyBorder="1" applyAlignment="1">
      <alignment horizontal="left" vertical="center" wrapText="1"/>
    </xf>
    <xf numFmtId="0" fontId="29" fillId="0" borderId="18" xfId="30" applyFont="1" applyBorder="1" applyAlignment="1">
      <alignment horizontal="left" vertical="center" wrapText="1"/>
    </xf>
    <xf numFmtId="0" fontId="30" fillId="0" borderId="14" xfId="30" applyFont="1" applyBorder="1" applyAlignment="1">
      <alignment horizontal="center" vertical="center" wrapText="1"/>
    </xf>
    <xf numFmtId="0" fontId="30" fillId="0" borderId="30" xfId="30" applyFont="1" applyBorder="1" applyAlignment="1">
      <alignment horizontal="center" vertical="center" wrapText="1"/>
    </xf>
    <xf numFmtId="0" fontId="30" fillId="0" borderId="8"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4" xfId="30" applyFont="1" applyBorder="1" applyAlignment="1">
      <alignment horizontal="left" vertical="center" wrapText="1"/>
    </xf>
    <xf numFmtId="0" fontId="30" fillId="0" borderId="30" xfId="30" applyFont="1" applyBorder="1" applyAlignment="1">
      <alignment horizontal="left" vertical="center" wrapText="1"/>
    </xf>
    <xf numFmtId="0" fontId="30" fillId="0" borderId="8" xfId="30" applyFont="1" applyBorder="1" applyAlignment="1">
      <alignment horizontal="left" vertical="center" wrapText="1"/>
    </xf>
    <xf numFmtId="0" fontId="30" fillId="0" borderId="18" xfId="30" applyFont="1" applyBorder="1" applyAlignment="1">
      <alignment horizontal="left" vertical="center" wrapText="1"/>
    </xf>
    <xf numFmtId="0" fontId="29" fillId="0" borderId="12" xfId="0" applyFont="1" applyBorder="1" applyAlignment="1">
      <alignment horizontal="center" vertical="center" wrapText="1"/>
    </xf>
    <xf numFmtId="0" fontId="29" fillId="0" borderId="15" xfId="0" applyFont="1" applyBorder="1" applyAlignment="1">
      <alignment horizontal="center" vertical="center" wrapText="1"/>
    </xf>
    <xf numFmtId="0" fontId="29" fillId="0" borderId="16" xfId="0" applyFont="1" applyBorder="1" applyAlignment="1">
      <alignment horizontal="center" vertical="center" wrapText="1"/>
    </xf>
    <xf numFmtId="0" fontId="30" fillId="0" borderId="35" xfId="0" applyFont="1" applyBorder="1" applyAlignment="1">
      <alignment horizontal="center" vertical="center" wrapText="1"/>
    </xf>
    <xf numFmtId="0" fontId="30" fillId="0" borderId="36" xfId="0" applyFont="1" applyBorder="1" applyAlignment="1">
      <alignment horizontal="center" vertical="center" wrapText="1"/>
    </xf>
    <xf numFmtId="0" fontId="30" fillId="0" borderId="37" xfId="0" applyFont="1" applyBorder="1" applyAlignment="1">
      <alignment horizontal="center" vertical="center" wrapText="1"/>
    </xf>
    <xf numFmtId="0" fontId="30" fillId="0" borderId="13" xfId="31" applyFont="1" applyFill="1" applyBorder="1" applyAlignment="1">
      <alignment horizontal="center" vertical="center" wrapText="1"/>
    </xf>
    <xf numFmtId="0" fontId="30" fillId="0" borderId="10" xfId="31" applyFont="1" applyFill="1" applyBorder="1" applyAlignment="1">
      <alignment horizontal="center" vertical="center" wrapText="1"/>
    </xf>
    <xf numFmtId="0" fontId="30" fillId="0" borderId="17" xfId="31" applyFont="1" applyFill="1" applyBorder="1" applyAlignment="1">
      <alignment horizontal="center" vertical="center" wrapText="1"/>
    </xf>
    <xf numFmtId="0" fontId="29" fillId="0" borderId="22" xfId="30" applyFont="1" applyBorder="1" applyAlignment="1">
      <alignment horizontal="left" vertical="center" wrapText="1"/>
    </xf>
    <xf numFmtId="0" fontId="29" fillId="0" borderId="32" xfId="30" applyFont="1" applyBorder="1" applyAlignment="1">
      <alignment horizontal="left" vertical="center" wrapText="1"/>
    </xf>
    <xf numFmtId="0" fontId="29" fillId="0" borderId="11" xfId="30" applyFont="1" applyBorder="1" applyAlignment="1">
      <alignment horizontal="left" vertical="center" wrapText="1"/>
    </xf>
    <xf numFmtId="0" fontId="29" fillId="0" borderId="25" xfId="30" applyFont="1" applyBorder="1" applyAlignment="1">
      <alignment horizontal="left" vertical="center" wrapText="1"/>
    </xf>
    <xf numFmtId="0" fontId="30" fillId="0" borderId="14" xfId="0" applyFont="1" applyBorder="1" applyAlignment="1">
      <alignment horizontal="center" vertical="center" wrapText="1"/>
    </xf>
    <xf numFmtId="0" fontId="30" fillId="0" borderId="30" xfId="0" applyFont="1" applyBorder="1" applyAlignment="1">
      <alignment horizontal="center" vertical="center" wrapText="1"/>
    </xf>
    <xf numFmtId="0" fontId="30" fillId="0" borderId="8" xfId="0" applyFont="1" applyBorder="1" applyAlignment="1">
      <alignment horizontal="center" vertical="center" wrapText="1"/>
    </xf>
    <xf numFmtId="0" fontId="30" fillId="0" borderId="18" xfId="0" applyFont="1" applyBorder="1" applyAlignment="1">
      <alignment horizontal="center" vertical="center" wrapText="1"/>
    </xf>
    <xf numFmtId="0" fontId="29" fillId="0" borderId="21" xfId="30" applyFont="1" applyBorder="1" applyAlignment="1">
      <alignment horizontal="center" vertical="center" wrapText="1"/>
    </xf>
    <xf numFmtId="0" fontId="29" fillId="0" borderId="41" xfId="30" applyFont="1" applyBorder="1" applyAlignment="1">
      <alignment horizontal="center" vertical="center" wrapText="1"/>
    </xf>
    <xf numFmtId="0" fontId="29" fillId="0" borderId="23" xfId="30" applyFont="1" applyBorder="1" applyAlignment="1">
      <alignment horizontal="center" vertical="center" wrapText="1"/>
    </xf>
    <xf numFmtId="0" fontId="29" fillId="0" borderId="24" xfId="30" applyFont="1" applyBorder="1" applyAlignment="1">
      <alignment horizontal="center" vertical="center" wrapText="1"/>
    </xf>
    <xf numFmtId="0" fontId="29" fillId="0" borderId="14" xfId="0" applyFont="1" applyBorder="1" applyAlignment="1">
      <alignment horizontal="left" vertical="center" wrapText="1"/>
    </xf>
    <xf numFmtId="0" fontId="29" fillId="0" borderId="8" xfId="0" applyFont="1" applyBorder="1" applyAlignment="1">
      <alignment horizontal="left" vertical="center" wrapText="1"/>
    </xf>
    <xf numFmtId="0" fontId="29" fillId="0" borderId="18" xfId="0" applyFont="1" applyBorder="1" applyAlignment="1">
      <alignment horizontal="left" vertical="center" wrapText="1"/>
    </xf>
    <xf numFmtId="0" fontId="30" fillId="0" borderId="14" xfId="0" applyFont="1" applyBorder="1" applyAlignment="1">
      <alignment horizontal="left" vertical="center" wrapText="1"/>
    </xf>
    <xf numFmtId="0" fontId="30" fillId="0" borderId="8" xfId="0" applyFont="1" applyBorder="1" applyAlignment="1">
      <alignment horizontal="left" vertical="center" wrapText="1"/>
    </xf>
    <xf numFmtId="0" fontId="30" fillId="0" borderId="18" xfId="0" applyFont="1" applyBorder="1" applyAlignment="1">
      <alignment horizontal="left" vertical="center" wrapText="1"/>
    </xf>
    <xf numFmtId="0" fontId="29" fillId="0" borderId="10" xfId="30" applyFont="1" applyBorder="1" applyAlignment="1">
      <alignment horizontal="left" vertical="center" wrapText="1"/>
    </xf>
    <xf numFmtId="0" fontId="30" fillId="0" borderId="28" xfId="30" applyFont="1" applyBorder="1" applyAlignment="1">
      <alignment horizontal="center" vertical="center" wrapText="1"/>
    </xf>
    <xf numFmtId="0" fontId="30" fillId="0" borderId="10" xfId="30" applyFont="1" applyBorder="1" applyAlignment="1">
      <alignment horizontal="left" vertical="center" wrapText="1"/>
    </xf>
    <xf numFmtId="0" fontId="30" fillId="0" borderId="31" xfId="30" applyFont="1" applyBorder="1" applyAlignment="1">
      <alignment horizontal="center" vertical="center" wrapText="1"/>
    </xf>
    <xf numFmtId="0" fontId="29" fillId="0" borderId="35" xfId="0" applyFont="1" applyBorder="1" applyAlignment="1">
      <alignment horizontal="center" vertical="center" wrapText="1"/>
    </xf>
    <xf numFmtId="0" fontId="29" fillId="0" borderId="36" xfId="0" applyFont="1" applyBorder="1" applyAlignment="1">
      <alignment horizontal="center" vertical="center" wrapText="1"/>
    </xf>
    <xf numFmtId="0" fontId="29" fillId="0" borderId="37" xfId="0" applyFont="1" applyBorder="1" applyAlignment="1">
      <alignment horizontal="center" vertical="center" wrapText="1"/>
    </xf>
    <xf numFmtId="0" fontId="29" fillId="0" borderId="33" xfId="0" applyFont="1" applyBorder="1" applyAlignment="1">
      <alignment horizontal="left" vertical="center" wrapText="1"/>
    </xf>
    <xf numFmtId="0" fontId="29" fillId="0" borderId="0" xfId="0" applyFont="1" applyAlignment="1">
      <alignment horizontal="left" vertical="center" wrapText="1"/>
    </xf>
    <xf numFmtId="0" fontId="29" fillId="0" borderId="34" xfId="0" applyFont="1" applyBorder="1" applyAlignment="1">
      <alignment horizontal="left" vertical="center" wrapText="1"/>
    </xf>
    <xf numFmtId="0" fontId="30" fillId="0" borderId="35" xfId="0" applyFont="1" applyBorder="1" applyAlignment="1">
      <alignment horizontal="left" vertical="center" wrapText="1"/>
    </xf>
    <xf numFmtId="0" fontId="30" fillId="0" borderId="36" xfId="0" applyFont="1" applyBorder="1" applyAlignment="1">
      <alignment horizontal="left" vertical="center" wrapText="1"/>
    </xf>
    <xf numFmtId="0" fontId="30" fillId="0" borderId="37" xfId="0" applyFont="1" applyBorder="1" applyAlignment="1">
      <alignment horizontal="left" vertical="center" wrapText="1"/>
    </xf>
    <xf numFmtId="0" fontId="30" fillId="0" borderId="33" xfId="0" applyFont="1" applyBorder="1" applyAlignment="1">
      <alignment horizontal="center" vertical="center" wrapText="1"/>
    </xf>
    <xf numFmtId="0" fontId="30" fillId="0" borderId="0" xfId="0" applyFont="1" applyAlignment="1">
      <alignment horizontal="center" vertical="center" wrapText="1"/>
    </xf>
    <xf numFmtId="0" fontId="30" fillId="0" borderId="34" xfId="0" applyFont="1" applyBorder="1" applyAlignment="1">
      <alignment horizontal="center" vertical="center" wrapText="1"/>
    </xf>
    <xf numFmtId="0" fontId="29" fillId="0" borderId="13" xfId="30" applyFont="1" applyBorder="1" applyAlignment="1">
      <alignment horizontal="left" vertical="center" wrapText="1"/>
    </xf>
    <xf numFmtId="0" fontId="29" fillId="0" borderId="17" xfId="30" applyFont="1" applyBorder="1" applyAlignment="1">
      <alignment horizontal="left" vertical="center" wrapText="1"/>
    </xf>
    <xf numFmtId="0" fontId="30" fillId="60" borderId="14" xfId="30" applyFont="1" applyFill="1" applyBorder="1" applyAlignment="1">
      <alignment horizontal="center" vertical="center" wrapText="1"/>
    </xf>
    <xf numFmtId="0" fontId="30" fillId="60" borderId="8" xfId="30" applyFont="1" applyFill="1" applyBorder="1" applyAlignment="1">
      <alignment horizontal="center" vertical="center" wrapText="1"/>
    </xf>
    <xf numFmtId="0" fontId="30" fillId="60" borderId="18" xfId="30" applyFont="1" applyFill="1" applyBorder="1" applyAlignment="1">
      <alignment horizontal="center" vertical="center" wrapText="1"/>
    </xf>
    <xf numFmtId="0" fontId="45" fillId="0" borderId="7" xfId="29" applyFont="1" applyAlignment="1">
      <alignment horizontal="left"/>
    </xf>
    <xf numFmtId="0" fontId="39" fillId="0" borderId="7" xfId="29" applyFont="1" applyAlignment="1">
      <alignment horizontal="left" wrapText="1"/>
    </xf>
  </cellXfs>
  <cellStyles count="83">
    <cellStyle name="20% - Accent10" xfId="69" xr:uid="{00000000-0005-0000-0000-000001000000}"/>
    <cellStyle name="20% - Accent11" xfId="70" xr:uid="{00000000-0005-0000-0000-000002000000}"/>
    <cellStyle name="20% - Accent12" xfId="71" xr:uid="{00000000-0005-0000-0000-000003000000}"/>
    <cellStyle name="20% - Accent7" xfId="66" xr:uid="{00000000-0005-0000-0000-000009000000}"/>
    <cellStyle name="20% - Accent8" xfId="67" xr:uid="{00000000-0005-0000-0000-00000A000000}"/>
    <cellStyle name="20% - Accent9" xfId="68" xr:uid="{00000000-0005-0000-0000-00000B000000}"/>
    <cellStyle name="20% – rõhk1" xfId="1" builtinId="30" customBuiltin="1"/>
    <cellStyle name="20% – rõhk2" xfId="2" builtinId="34" customBuiltin="1"/>
    <cellStyle name="20% – rõhk3" xfId="3" builtinId="38" customBuiltin="1"/>
    <cellStyle name="20% – rõhk4" xfId="4" builtinId="42" customBuiltin="1"/>
    <cellStyle name="20% – rõhk5" xfId="5" builtinId="46" customBuiltin="1"/>
    <cellStyle name="20% – rõhk6" xfId="6" builtinId="50" customBuiltin="1"/>
    <cellStyle name="40% - Accent10" xfId="63" xr:uid="{00000000-0005-0000-0000-00000D000000}"/>
    <cellStyle name="40% - Accent11" xfId="64" xr:uid="{00000000-0005-0000-0000-00000E000000}"/>
    <cellStyle name="40% - Accent12" xfId="65" xr:uid="{00000000-0005-0000-0000-00000F000000}"/>
    <cellStyle name="40% - Accent7" xfId="60" xr:uid="{00000000-0005-0000-0000-000015000000}"/>
    <cellStyle name="40% - Accent8" xfId="61" xr:uid="{00000000-0005-0000-0000-000016000000}"/>
    <cellStyle name="40% - Accent9" xfId="62" xr:uid="{00000000-0005-0000-0000-000017000000}"/>
    <cellStyle name="40% – rõhk1" xfId="7" builtinId="31" customBuiltin="1"/>
    <cellStyle name="40% – rõhk2" xfId="8" builtinId="35" customBuiltin="1"/>
    <cellStyle name="40% – rõhk3" xfId="9" builtinId="39" customBuiltin="1"/>
    <cellStyle name="40% – rõhk4" xfId="10" builtinId="43" customBuiltin="1"/>
    <cellStyle name="40% – rõhk5" xfId="11" builtinId="47" customBuiltin="1"/>
    <cellStyle name="40% – rõhk6" xfId="12" builtinId="51" customBuiltin="1"/>
    <cellStyle name="60% - Accent10" xfId="57" xr:uid="{00000000-0005-0000-0000-000019000000}"/>
    <cellStyle name="60% - Accent11" xfId="58" xr:uid="{00000000-0005-0000-0000-00001A000000}"/>
    <cellStyle name="60% - Accent12" xfId="59" xr:uid="{00000000-0005-0000-0000-00001B000000}"/>
    <cellStyle name="60% - Accent7" xfId="54" xr:uid="{00000000-0005-0000-0000-000021000000}"/>
    <cellStyle name="60% - Accent8" xfId="55" xr:uid="{00000000-0005-0000-0000-000022000000}"/>
    <cellStyle name="60% - Accent9" xfId="56" xr:uid="{00000000-0005-0000-0000-000023000000}"/>
    <cellStyle name="60% – rõhk1" xfId="13" builtinId="32" customBuiltin="1"/>
    <cellStyle name="60% – rõhk2" xfId="14" builtinId="36" customBuiltin="1"/>
    <cellStyle name="60% – rõhk3" xfId="15" builtinId="40" customBuiltin="1"/>
    <cellStyle name="60% – rõhk4" xfId="16" builtinId="44" customBuiltin="1"/>
    <cellStyle name="60% – rõhk5" xfId="17" builtinId="48" customBuiltin="1"/>
    <cellStyle name="60% – rõhk6" xfId="18" builtinId="52" customBuiltin="1"/>
    <cellStyle name="Accent10" xfId="51" xr:uid="{00000000-0005-0000-0000-000025000000}"/>
    <cellStyle name="Accent11" xfId="52" xr:uid="{00000000-0005-0000-0000-000026000000}"/>
    <cellStyle name="Accent12" xfId="53" xr:uid="{00000000-0005-0000-0000-000027000000}"/>
    <cellStyle name="Accent7" xfId="48" xr:uid="{00000000-0005-0000-0000-00002D000000}"/>
    <cellStyle name="Accent8" xfId="49" xr:uid="{00000000-0005-0000-0000-00002E000000}"/>
    <cellStyle name="Accent9" xfId="50" xr:uid="{00000000-0005-0000-0000-00002F000000}"/>
    <cellStyle name="Arvutus" xfId="26" builtinId="22" customBuiltin="1"/>
    <cellStyle name="Bad 2" xfId="78" xr:uid="{249A32E3-3196-4469-9585-684B862BEA1A}"/>
    <cellStyle name="Calculation 2" xfId="79" xr:uid="{3883D429-9272-46F8-8B50-CE7AB1DAA43C}"/>
    <cellStyle name="Halb" xfId="25" builtinId="27" customBuiltin="1"/>
    <cellStyle name="Hea" xfId="34" builtinId="26" customBuiltin="1"/>
    <cellStyle name="Hoiatuse tekst" xfId="47" builtinId="11" customBuiltin="1"/>
    <cellStyle name="Hüperlink" xfId="39" builtinId="8" customBuiltin="1"/>
    <cellStyle name="Hyperlink 2" xfId="73" xr:uid="{D3C1E569-CEF9-448C-9612-4155E74674CD}"/>
    <cellStyle name="Input 2" xfId="80" xr:uid="{76B3ACBA-2FEF-4A9B-9B4A-0D0E6372DDA4}"/>
    <cellStyle name="Kokku" xfId="46" builtinId="25" hidden="1" customBuiltin="1"/>
    <cellStyle name="Kontrolli lahtrit" xfId="27" builtinId="23" customBuiltin="1"/>
    <cellStyle name="Külastatud hüperlink" xfId="33" builtinId="9" customBuiltin="1"/>
    <cellStyle name="Lingitud lahter" xfId="41" builtinId="24" customBuiltin="1"/>
    <cellStyle name="Linked Cell 2" xfId="81" xr:uid="{D10FFACA-1793-4CDC-A341-7BE4AAE24CF9}"/>
    <cellStyle name="Märkus" xfId="43" builtinId="10" customBuiltin="1"/>
    <cellStyle name="Neutraalne" xfId="42" builtinId="28" customBuiltin="1"/>
    <cellStyle name="Normaallaad" xfId="0" builtinId="0" customBuiltin="1"/>
    <cellStyle name="Normal 2" xfId="74" xr:uid="{0350A1FA-534E-4024-90F7-CA2D9ACBBBAA}"/>
    <cellStyle name="Normal 2 2" xfId="76" xr:uid="{657DB145-EC59-42FE-860B-EC6A8BD7D14D}"/>
    <cellStyle name="Normal 2 2 2" xfId="77" xr:uid="{A19BB19F-DC7B-4C29-BF8F-B4F595358951}"/>
    <cellStyle name="Normal 3" xfId="72" xr:uid="{6C580266-CCE8-481D-A37F-EEC3AF8F7D9B}"/>
    <cellStyle name="Normal 4" xfId="82" xr:uid="{24377D7D-7598-44E7-A3C6-1430DF69E6A7}"/>
    <cellStyle name="Pealkiri 1" xfId="35" builtinId="16" hidden="1" customBuiltin="1"/>
    <cellStyle name="Pealkiri 2" xfId="36" builtinId="17" hidden="1" customBuiltin="1"/>
    <cellStyle name="Pealkiri 3" xfId="37" builtinId="18" hidden="1" customBuiltin="1"/>
    <cellStyle name="Pealkiri 4" xfId="38" builtinId="19" hidden="1" customBuiltin="1"/>
    <cellStyle name="Percent 2" xfId="75" xr:uid="{5D3816AF-5BDC-45D5-80DE-AFFBC1EAB881}"/>
    <cellStyle name="Rõhk1" xfId="19" builtinId="29" customBuiltin="1"/>
    <cellStyle name="Rõhk2" xfId="20" builtinId="33" customBuiltin="1"/>
    <cellStyle name="Rõhk3" xfId="21" builtinId="37" customBuiltin="1"/>
    <cellStyle name="Rõhk4" xfId="22" builtinId="41" customBuiltin="1"/>
    <cellStyle name="Rõhk5" xfId="23" builtinId="45" customBuiltin="1"/>
    <cellStyle name="Rõhk6" xfId="24" builtinId="49" customBuiltin="1"/>
    <cellStyle name="Selgitav tekst" xfId="32" builtinId="53" customBuiltin="1"/>
    <cellStyle name="Sisend" xfId="40" builtinId="20" customBuiltin="1"/>
    <cellStyle name="Tri_Calculation0" xfId="28" xr:uid="{00000000-0005-0000-0000-000033000000}"/>
    <cellStyle name="Tri_SecTitle1" xfId="29" xr:uid="{00000000-0005-0000-0000-00005B000000}"/>
    <cellStyle name="Tri_TableCell0" xfId="30" xr:uid="{00000000-0005-0000-0000-000043000000}"/>
    <cellStyle name="Tri_TableHeader1" xfId="31" xr:uid="{00000000-0005-0000-0000-000047000000}"/>
    <cellStyle name="Väljund" xfId="44" builtinId="21" customBuiltin="1"/>
    <cellStyle name="Üldpealkiri" xfId="45" builtinId="15" hidden="1" customBuiltin="1"/>
  </cellStyles>
  <dxfs count="342">
    <dxf>
      <font>
        <strike val="0"/>
        <outline val="0"/>
        <shadow val="0"/>
        <u val="none"/>
        <vertAlign val="baseline"/>
        <sz val="20"/>
        <color auto="1"/>
        <name val="Arial"/>
        <family val="2"/>
        <charset val="186"/>
        <scheme val="none"/>
      </font>
      <numFmt numFmtId="0" formatCode="General"/>
      <alignment vertical="bottom" textRotation="0" wrapText="1"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20"/>
        <color auto="1"/>
        <name val="Arial"/>
        <family val="2"/>
        <charset val="186"/>
        <scheme val="none"/>
      </font>
      <numFmt numFmtId="0" formatCode="General"/>
      <alignment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20"/>
        <color auto="1"/>
        <name val="Arial"/>
        <family val="2"/>
        <charset val="186"/>
        <scheme val="none"/>
      </font>
      <numFmt numFmtId="0" formatCode="General"/>
      <alignment horizontal="general" vertical="bottom" textRotation="0" wrapText="1" indent="0" justifyLastLine="0" shrinkToFit="0" readingOrder="0"/>
      <border diagonalUp="0" diagonalDown="0" outline="0">
        <left/>
        <right style="thin">
          <color indexed="64"/>
        </right>
        <top style="thin">
          <color indexed="64"/>
        </top>
        <bottom style="thin">
          <color indexed="64"/>
        </bottom>
      </border>
    </dxf>
    <dxf>
      <font>
        <b/>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general"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left" vertical="bottom" textRotation="0" wrapText="1"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left"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left" vertical="bottom" textRotation="0" wrapText="1" indent="0" justifyLastLine="0" shrinkToFit="0" readingOrder="0"/>
      <border diagonalUp="0" diagonalDown="0" outline="0">
        <left/>
        <right style="thin">
          <color indexed="64"/>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20"/>
        <color auto="1"/>
        <name val="Arial"/>
        <family val="2"/>
        <charset val="186"/>
        <scheme val="none"/>
      </font>
      <alignment vertical="bottom" textRotation="0" wrapText="1" indent="0" justifyLastLine="0" shrinkToFit="0" readingOrder="0"/>
    </dxf>
    <dxf>
      <border>
        <bottom style="thin">
          <color indexed="64"/>
        </bottom>
      </border>
    </dxf>
    <dxf>
      <font>
        <b val="0"/>
        <i val="0"/>
        <strike val="0"/>
        <condense val="0"/>
        <extend val="0"/>
        <outline val="0"/>
        <shadow val="0"/>
        <u val="none"/>
        <vertAlign val="baseline"/>
        <sz val="20"/>
        <color theme="2"/>
        <name val="Arial"/>
        <family val="2"/>
        <charset val="186"/>
        <scheme val="none"/>
      </font>
      <fill>
        <patternFill patternType="solid">
          <fgColor indexed="64"/>
          <bgColor rgb="FF005861"/>
        </patternFill>
      </fill>
      <alignment horizontal="general" vertical="bottom"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0"/>
        <color auto="1"/>
        <name val="Arial"/>
        <family val="2"/>
        <scheme val="none"/>
      </font>
    </dxf>
    <dxf>
      <font>
        <strike val="0"/>
        <outline val="0"/>
        <shadow val="0"/>
        <u val="none"/>
        <vertAlign val="baseline"/>
        <sz val="10"/>
        <color auto="1"/>
        <name val="Arial"/>
        <family val="2"/>
        <scheme val="none"/>
      </font>
      <numFmt numFmtId="0" formatCode="General"/>
    </dxf>
    <dxf>
      <font>
        <b val="0"/>
        <i val="0"/>
        <strike val="0"/>
        <condense val="0"/>
        <extend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ont>
        <b val="0"/>
        <i val="0"/>
        <strike val="0"/>
        <condense val="0"/>
        <extend val="0"/>
        <outline val="0"/>
        <shadow val="0"/>
        <u val="none"/>
        <vertAlign val="baseline"/>
        <sz val="10"/>
        <color auto="1"/>
        <name val="Arial"/>
        <family val="2"/>
        <scheme val="none"/>
      </font>
      <alignment horizontal="general" vertical="bottom" textRotation="0" wrapText="1" indent="0" justifyLastLine="0" shrinkToFit="0" readingOrder="0"/>
    </dxf>
    <dxf>
      <font>
        <strike val="0"/>
        <outline val="0"/>
        <shadow val="0"/>
        <u val="none"/>
        <vertAlign val="baseline"/>
        <sz val="10"/>
        <color auto="1"/>
        <name val="Arial"/>
        <family val="2"/>
        <scheme val="none"/>
      </font>
      <alignment horizontal="general" vertical="bottom" textRotation="0" wrapText="1"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2"/>
      </font>
      <fill>
        <patternFill patternType="none">
          <bgColor auto="1"/>
        </patternFill>
      </fill>
      <border>
        <bottom style="thin">
          <color theme="2"/>
        </bottom>
      </border>
    </dxf>
    <dxf>
      <border diagonalUp="0" diagonalDown="0">
        <left style="hair">
          <color theme="6"/>
        </left>
        <right style="hair">
          <color theme="6"/>
        </right>
        <top style="hair">
          <color theme="6"/>
        </top>
        <bottom style="hair">
          <color theme="6"/>
        </bottom>
        <vertical style="hair">
          <color theme="6"/>
        </vertical>
        <horizontal style="hair">
          <color theme="6"/>
        </horizontal>
      </border>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0"/>
      </font>
      <fill>
        <patternFill>
          <bgColor theme="2"/>
        </patternFill>
      </fill>
    </dxf>
    <dxf>
      <border diagonalUp="0" diagonalDown="0">
        <left style="hair">
          <color theme="2"/>
        </left>
        <right style="hair">
          <color theme="2"/>
        </right>
        <top style="hair">
          <color theme="2"/>
        </top>
        <bottom style="hair">
          <color theme="2"/>
        </bottom>
        <vertical style="hair">
          <color theme="2"/>
        </vertical>
        <horizontal style="hair">
          <color theme="2"/>
        </horizontal>
      </border>
    </dxf>
  </dxfs>
  <tableStyles count="2" defaultTableStyle="TableStyleMedium2" defaultPivotStyle="PivotStyleLight16">
    <tableStyle name="E_Table1_Green" pivot="0" count="7" xr9:uid="{00000000-0011-0000-FFFF-FFFF00000000}">
      <tableStyleElement type="wholeTable" dxfId="341"/>
      <tableStyleElement type="headerRow" dxfId="340"/>
      <tableStyleElement type="totalRow" dxfId="339"/>
      <tableStyleElement type="firstColumn" dxfId="338"/>
      <tableStyleElement type="lastColumn" dxfId="337"/>
      <tableStyleElement type="secondRowStripe" dxfId="336"/>
      <tableStyleElement type="secondColumnStripe" dxfId="335"/>
    </tableStyle>
    <tableStyle name="E_Table2_Green" pivot="0" count="7" xr9:uid="{00000000-0011-0000-FFFF-FFFF01000000}">
      <tableStyleElement type="wholeTable" dxfId="334"/>
      <tableStyleElement type="headerRow" dxfId="333"/>
      <tableStyleElement type="totalRow" dxfId="332"/>
      <tableStyleElement type="firstColumn" dxfId="331"/>
      <tableStyleElement type="lastColumn" dxfId="330"/>
      <tableStyleElement type="secondRowStripe" dxfId="329"/>
      <tableStyleElement type="secondColumnStripe" dxfId="328"/>
    </tableStyle>
  </tableStyles>
  <colors>
    <indexedColors>
      <rgbColor rgb="00000000"/>
      <rgbColor rgb="00FFFFFF"/>
      <rgbColor rgb="00FF0000"/>
      <rgbColor rgb="0000FF00"/>
      <rgbColor rgb="000000FF"/>
      <rgbColor rgb="00FFFF00"/>
      <rgbColor rgb="00FF00FF"/>
      <rgbColor rgb="0000FFFF"/>
      <rgbColor rgb="00000000"/>
      <rgbColor rgb="0066B9C0"/>
      <rgbColor rgb="00CCD7ED"/>
      <rgbColor rgb="00E89EAC"/>
      <rgbColor rgb="00A7A2C7"/>
      <rgbColor rgb="00D1D1D2"/>
      <rgbColor rgb="0099B0DB"/>
      <rgbColor rgb="00FFC699"/>
      <rgbColor rgb="00FFFFFF"/>
      <rgbColor rgb="00E3D5ED"/>
      <rgbColor rgb="00F2F299"/>
      <rgbColor rgb="00C7ABDB"/>
      <rgbColor rgb="00CCE4DB"/>
      <rgbColor rgb="00D3D1E3"/>
      <rgbColor rgb="0099D1D5"/>
      <rgbColor rgb="00241773"/>
      <rgbColor rgb="003361B8"/>
      <rgbColor rgb="0095C633"/>
      <rgbColor rgb="00A2A4A4"/>
      <rgbColor rgb="00D13D5A"/>
      <rgbColor rgb="00FF8D33"/>
      <rgbColor rgb="00EEBC33"/>
      <rgbColor rgb="00339571"/>
      <rgbColor rgb="0033A2AA"/>
      <rgbColor rgb="000039A6"/>
      <rgbColor rgb="007AB800"/>
      <rgbColor rgb="008B8D8E"/>
      <rgbColor rgb="00BD0C30"/>
      <rgbColor rgb="00FF7000"/>
      <rgbColor rgb="00EAAB00"/>
      <rgbColor rgb="00007A4D"/>
      <rgbColor rgb="00008B95"/>
      <rgbColor rgb="00F7DD99"/>
      <rgbColor rgb="00FFA966"/>
      <rgbColor rgb="00DD6D83"/>
      <rgbColor rgb="00B9BBBB"/>
      <rgbColor rgb="00F3CD66"/>
      <rgbColor rgb="006688CA"/>
      <rgbColor rgb="0066AF94"/>
      <rgbColor rgb="00AFD466"/>
      <rgbColor rgb="00FBEECC"/>
      <rgbColor rgb="00FFE2CC"/>
      <rgbColor rgb="00E8E8E8"/>
      <rgbColor rgb="00CAE399"/>
      <rgbColor rgb="00E4F1CC"/>
      <rgbColor rgb="00722EA5"/>
      <rgbColor rgb="007C74AB"/>
      <rgbColor rgb="00CCE8EA"/>
      <rgbColor rgb="00F9F9CC"/>
      <rgbColor rgb="00F4CED6"/>
      <rgbColor rgb="00F4CCE7"/>
      <rgbColor rgb="00DC66B5"/>
      <rgbColor rgb="00C50084"/>
      <rgbColor rgb="0099CAB8"/>
      <rgbColor rgb="00ECEC66"/>
      <rgbColor rgb="00DFDF00"/>
    </indexedColors>
    <mruColors>
      <color rgb="FF005861"/>
      <color rgb="FFCCFFCC"/>
      <color rgb="FFFFCCCC"/>
      <color rgb="FFFF99CC"/>
      <color rgb="FFF9B8AD"/>
      <color rgb="FFB6D69A"/>
      <color rgb="FFFFECDD"/>
      <color rgb="FFD9D9D9"/>
      <color rgb="FFF69583"/>
      <color rgb="FFD9BC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alcChain" Target="calcChain.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22/11/relationships/FeaturePropertyBag" Target="featurePropertyBag/featurePropertyBag.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0</xdr:col>
      <xdr:colOff>449035</xdr:colOff>
      <xdr:row>0</xdr:row>
      <xdr:rowOff>88445</xdr:rowOff>
    </xdr:from>
    <xdr:to>
      <xdr:col>12</xdr:col>
      <xdr:colOff>551089</xdr:colOff>
      <xdr:row>73</xdr:row>
      <xdr:rowOff>23809</xdr:rowOff>
    </xdr:to>
    <xdr:sp macro="" textlink="">
      <xdr:nvSpPr>
        <xdr:cNvPr id="2" name="TextBox 1">
          <a:extLst>
            <a:ext uri="{FF2B5EF4-FFF2-40B4-BE49-F238E27FC236}">
              <a16:creationId xmlns:a16="http://schemas.microsoft.com/office/drawing/2014/main" id="{0AAE1451-3AE5-4888-A2BA-49EF9FFCEAF5}"/>
            </a:ext>
          </a:extLst>
        </xdr:cNvPr>
        <xdr:cNvSpPr txBox="1"/>
      </xdr:nvSpPr>
      <xdr:spPr>
        <a:xfrm>
          <a:off x="449035" y="88445"/>
          <a:ext cx="7041697" cy="11855221"/>
        </a:xfrm>
        <a:prstGeom prst="rect">
          <a:avLst/>
        </a:prstGeom>
        <a:solidFill>
          <a:sysClr val="window" lastClr="FFFFFF"/>
        </a:solid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endParaRPr lang="et-EE" sz="800">
            <a:solidFill>
              <a:schemeClr val="tx1"/>
            </a:solidFill>
          </a:endParaRPr>
        </a:p>
      </xdr:txBody>
    </xdr:sp>
    <xdr:clientData/>
  </xdr:twoCellAnchor>
  <xdr:twoCellAnchor>
    <xdr:from>
      <xdr:col>0</xdr:col>
      <xdr:colOff>466840</xdr:colOff>
      <xdr:row>0</xdr:row>
      <xdr:rowOff>108744</xdr:rowOff>
    </xdr:from>
    <xdr:to>
      <xdr:col>12</xdr:col>
      <xdr:colOff>523990</xdr:colOff>
      <xdr:row>4</xdr:row>
      <xdr:rowOff>136048</xdr:rowOff>
    </xdr:to>
    <xdr:grpSp>
      <xdr:nvGrpSpPr>
        <xdr:cNvPr id="3" name="Group 8">
          <a:extLst>
            <a:ext uri="{FF2B5EF4-FFF2-40B4-BE49-F238E27FC236}">
              <a16:creationId xmlns:a16="http://schemas.microsoft.com/office/drawing/2014/main" id="{2AE47521-EC95-4C56-A307-87822B32B9C7}"/>
            </a:ext>
          </a:extLst>
        </xdr:cNvPr>
        <xdr:cNvGrpSpPr/>
      </xdr:nvGrpSpPr>
      <xdr:grpSpPr>
        <a:xfrm>
          <a:off x="466840" y="108744"/>
          <a:ext cx="7143750" cy="713104"/>
          <a:chOff x="0" y="0"/>
          <a:chExt cx="6451600" cy="661035"/>
        </a:xfrm>
      </xdr:grpSpPr>
      <xdr:sp macro="" textlink="">
        <xdr:nvSpPr>
          <xdr:cNvPr id="4" name="Rectangle 9">
            <a:extLst>
              <a:ext uri="{FF2B5EF4-FFF2-40B4-BE49-F238E27FC236}">
                <a16:creationId xmlns:a16="http://schemas.microsoft.com/office/drawing/2014/main" id="{9024AB43-39F3-14B2-9808-C7F99EFDB220}"/>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5" name="Freeform 4">
            <a:extLst>
              <a:ext uri="{FF2B5EF4-FFF2-40B4-BE49-F238E27FC236}">
                <a16:creationId xmlns:a16="http://schemas.microsoft.com/office/drawing/2014/main" id="{620D5F49-1E16-81BA-D721-2F7B572B06F8}"/>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xdr:from>
      <xdr:col>1</xdr:col>
      <xdr:colOff>264434</xdr:colOff>
      <xdr:row>65</xdr:row>
      <xdr:rowOff>99036</xdr:rowOff>
    </xdr:from>
    <xdr:to>
      <xdr:col>2</xdr:col>
      <xdr:colOff>342447</xdr:colOff>
      <xdr:row>68</xdr:row>
      <xdr:rowOff>16443</xdr:rowOff>
    </xdr:to>
    <xdr:pic>
      <xdr:nvPicPr>
        <xdr:cNvPr id="6" name="Picture 11" descr="European Union Logo Vector (.AI) Free Download">
          <a:extLst>
            <a:ext uri="{FF2B5EF4-FFF2-40B4-BE49-F238E27FC236}">
              <a16:creationId xmlns:a16="http://schemas.microsoft.com/office/drawing/2014/main" id="{13BD404D-CB18-4C9F-9F89-DC7CFFE539FE}"/>
            </a:ext>
          </a:extLst>
        </xdr:cNvPr>
        <xdr:cNvPicPr/>
      </xdr:nvPicPr>
      <xdr:blipFill>
        <a:blip xmlns:r="http://schemas.openxmlformats.org/officeDocument/2006/relationships" r:embed="rId1"/>
        <a:srcRect/>
        <a:stretch>
          <a:fillRect/>
        </a:stretch>
      </xdr:blipFill>
      <xdr:spPr>
        <a:xfrm>
          <a:off x="847840" y="10933724"/>
          <a:ext cx="661420" cy="417469"/>
        </a:xfrm>
        <a:prstGeom prst="rect">
          <a:avLst/>
        </a:prstGeom>
        <a:ln/>
      </xdr:spPr>
    </xdr:pic>
    <xdr:clientData/>
  </xdr:twoCellAnchor>
  <xdr:twoCellAnchor>
    <xdr:from>
      <xdr:col>1</xdr:col>
      <xdr:colOff>345282</xdr:colOff>
      <xdr:row>14</xdr:row>
      <xdr:rowOff>3969</xdr:rowOff>
    </xdr:from>
    <xdr:to>
      <xdr:col>12</xdr:col>
      <xdr:colOff>163513</xdr:colOff>
      <xdr:row>29</xdr:row>
      <xdr:rowOff>3968</xdr:rowOff>
    </xdr:to>
    <xdr:sp macro="" textlink="">
      <xdr:nvSpPr>
        <xdr:cNvPr id="7" name="TextBox 6">
          <a:extLst>
            <a:ext uri="{FF2B5EF4-FFF2-40B4-BE49-F238E27FC236}">
              <a16:creationId xmlns:a16="http://schemas.microsoft.com/office/drawing/2014/main" id="{39A47110-F744-40B2-B0C2-265CA330DE8C}"/>
            </a:ext>
          </a:extLst>
        </xdr:cNvPr>
        <xdr:cNvSpPr txBox="1"/>
      </xdr:nvSpPr>
      <xdr:spPr>
        <a:xfrm>
          <a:off x="928688" y="2337594"/>
          <a:ext cx="6235700" cy="2500312"/>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marR="0" lvl="0" indent="0" algn="ctr" defTabSz="914400" eaLnBrk="1" fontAlgn="auto" latinLnBrk="0" hangingPunct="1">
            <a:lnSpc>
              <a:spcPct val="100000"/>
            </a:lnSpc>
            <a:spcBef>
              <a:spcPts val="0"/>
            </a:spcBef>
            <a:spcAft>
              <a:spcPts val="0"/>
            </a:spcAft>
            <a:buClrTx/>
            <a:buSzTx/>
            <a:buFontTx/>
            <a:buNone/>
            <a:tabLst/>
            <a:defRPr/>
          </a:pPr>
          <a:r>
            <a:rPr lang="et-EE" sz="3200">
              <a:solidFill>
                <a:srgbClr val="002C54"/>
              </a:solidFill>
              <a:effectLst/>
              <a:latin typeface="Montserrat Light" panose="00000400000000000000" pitchFamily="2" charset="0"/>
              <a:ea typeface="+mn-ea"/>
              <a:cs typeface="+mn-cs"/>
            </a:rPr>
            <a:t>Looduskaitse tulemuslikkuse hindamine</a:t>
          </a:r>
        </a:p>
        <a:p>
          <a:pPr marL="0" marR="0" lvl="0" indent="0" algn="ctr" defTabSz="914400" eaLnBrk="1" fontAlgn="auto" latinLnBrk="0" hangingPunct="1">
            <a:lnSpc>
              <a:spcPct val="100000"/>
            </a:lnSpc>
            <a:spcBef>
              <a:spcPts val="0"/>
            </a:spcBef>
            <a:spcAft>
              <a:spcPts val="0"/>
            </a:spcAft>
            <a:buClrTx/>
            <a:buSzTx/>
            <a:buFontTx/>
            <a:buNone/>
            <a:tabLst/>
            <a:defRPr/>
          </a:pPr>
          <a:endParaRPr lang="et-EE" sz="3200">
            <a:solidFill>
              <a:srgbClr val="002C54"/>
            </a:solidFill>
            <a:effectLst/>
            <a:latin typeface="Montserrat Light" panose="00000400000000000000" pitchFamily="2" charset="0"/>
            <a:ea typeface="+mn-ea"/>
            <a:cs typeface="+mn-cs"/>
          </a:endParaRPr>
        </a:p>
        <a:p>
          <a:pPr marL="0" marR="0" lvl="0" indent="0" algn="ctr" defTabSz="914400" eaLnBrk="1" fontAlgn="auto" latinLnBrk="0" hangingPunct="1">
            <a:lnSpc>
              <a:spcPct val="100000"/>
            </a:lnSpc>
            <a:spcBef>
              <a:spcPts val="0"/>
            </a:spcBef>
            <a:spcAft>
              <a:spcPts val="0"/>
            </a:spcAft>
            <a:buClrTx/>
            <a:buSzTx/>
            <a:buFontTx/>
            <a:buNone/>
            <a:tabLst/>
            <a:defRPr/>
          </a:pPr>
          <a:r>
            <a:rPr lang="et-EE" sz="3200">
              <a:solidFill>
                <a:srgbClr val="002C54"/>
              </a:solidFill>
              <a:effectLst/>
              <a:latin typeface="Montserrat Light" panose="00000400000000000000" pitchFamily="2" charset="0"/>
              <a:ea typeface="+mn-ea"/>
              <a:cs typeface="+mn-cs"/>
            </a:rPr>
            <a:t>Keskkonnaamet</a:t>
          </a:r>
          <a:br>
            <a:rPr lang="et-EE" sz="3200">
              <a:solidFill>
                <a:srgbClr val="002C54"/>
              </a:solidFill>
              <a:effectLst/>
              <a:latin typeface="Montserrat Light" panose="00000400000000000000" pitchFamily="2" charset="0"/>
              <a:ea typeface="+mn-ea"/>
              <a:cs typeface="+mn-cs"/>
            </a:rPr>
          </a:br>
          <a:br>
            <a:rPr lang="et-EE" sz="3200">
              <a:solidFill>
                <a:srgbClr val="002C54"/>
              </a:solidFill>
              <a:effectLst/>
              <a:latin typeface="Montserrat Light" panose="00000400000000000000" pitchFamily="2" charset="0"/>
              <a:ea typeface="+mn-ea"/>
              <a:cs typeface="+mn-cs"/>
            </a:rPr>
          </a:br>
          <a:endParaRPr lang="et-EE" sz="800">
            <a:solidFill>
              <a:schemeClr val="tx1"/>
            </a:solidFill>
          </a:endParaRPr>
        </a:p>
      </xdr:txBody>
    </xdr:sp>
    <xdr:clientData/>
  </xdr:twoCellAnchor>
  <xdr:twoCellAnchor>
    <xdr:from>
      <xdr:col>0</xdr:col>
      <xdr:colOff>462643</xdr:colOff>
      <xdr:row>68</xdr:row>
      <xdr:rowOff>146843</xdr:rowOff>
    </xdr:from>
    <xdr:to>
      <xdr:col>12</xdr:col>
      <xdr:colOff>544286</xdr:colOff>
      <xdr:row>73</xdr:row>
      <xdr:rowOff>2606</xdr:rowOff>
    </xdr:to>
    <xdr:grpSp>
      <xdr:nvGrpSpPr>
        <xdr:cNvPr id="9" name="Group 21">
          <a:extLst>
            <a:ext uri="{FF2B5EF4-FFF2-40B4-BE49-F238E27FC236}">
              <a16:creationId xmlns:a16="http://schemas.microsoft.com/office/drawing/2014/main" id="{353B2AE1-1966-4092-88FD-3BBAAE8699C4}"/>
            </a:ext>
          </a:extLst>
        </xdr:cNvPr>
        <xdr:cNvGrpSpPr/>
      </xdr:nvGrpSpPr>
      <xdr:grpSpPr>
        <a:xfrm flipV="1">
          <a:off x="462643" y="11805443"/>
          <a:ext cx="7168243" cy="713013"/>
          <a:chOff x="0" y="0"/>
          <a:chExt cx="6451600" cy="661035"/>
        </a:xfrm>
      </xdr:grpSpPr>
      <xdr:sp macro="" textlink="">
        <xdr:nvSpPr>
          <xdr:cNvPr id="10" name="Rectangle 22">
            <a:extLst>
              <a:ext uri="{FF2B5EF4-FFF2-40B4-BE49-F238E27FC236}">
                <a16:creationId xmlns:a16="http://schemas.microsoft.com/office/drawing/2014/main" id="{3E40A99D-E889-3F74-4402-B48F5DB0C551}"/>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11" name="Freeform 4">
            <a:extLst>
              <a:ext uri="{FF2B5EF4-FFF2-40B4-BE49-F238E27FC236}">
                <a16:creationId xmlns:a16="http://schemas.microsoft.com/office/drawing/2014/main" id="{8721B18D-465D-095E-63D7-39FCAE50AEEF}"/>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oneCellAnchor>
    <xdr:from>
      <xdr:col>0</xdr:col>
      <xdr:colOff>525659</xdr:colOff>
      <xdr:row>4</xdr:row>
      <xdr:rowOff>83192</xdr:rowOff>
    </xdr:from>
    <xdr:ext cx="3141112" cy="1178872"/>
    <xdr:pic>
      <xdr:nvPicPr>
        <xdr:cNvPr id="12" name="Pilt 11">
          <a:extLst>
            <a:ext uri="{FF2B5EF4-FFF2-40B4-BE49-F238E27FC236}">
              <a16:creationId xmlns:a16="http://schemas.microsoft.com/office/drawing/2014/main" id="{C47104EA-494D-4F2A-AF38-3F81862A74E3}"/>
            </a:ext>
          </a:extLst>
        </xdr:cNvPr>
        <xdr:cNvPicPr>
          <a:picLocks noChangeAspect="1"/>
        </xdr:cNvPicPr>
      </xdr:nvPicPr>
      <xdr:blipFill>
        <a:blip xmlns:r="http://schemas.openxmlformats.org/officeDocument/2006/relationships" r:embed="rId2"/>
        <a:stretch>
          <a:fillRect/>
        </a:stretch>
      </xdr:blipFill>
      <xdr:spPr>
        <a:xfrm>
          <a:off x="525659" y="736335"/>
          <a:ext cx="3141112" cy="1178872"/>
        </a:xfrm>
        <a:prstGeom prst="rect">
          <a:avLst/>
        </a:prstGeom>
      </xdr:spPr>
    </xdr:pic>
    <xdr:clientData/>
  </xdr:oneCellAnchor>
  <xdr:oneCellAnchor>
    <xdr:from>
      <xdr:col>6</xdr:col>
      <xdr:colOff>166702</xdr:colOff>
      <xdr:row>6</xdr:row>
      <xdr:rowOff>119730</xdr:rowOff>
    </xdr:from>
    <xdr:ext cx="1904004" cy="486215"/>
    <xdr:pic>
      <xdr:nvPicPr>
        <xdr:cNvPr id="13" name="Pilt 12">
          <a:extLst>
            <a:ext uri="{FF2B5EF4-FFF2-40B4-BE49-F238E27FC236}">
              <a16:creationId xmlns:a16="http://schemas.microsoft.com/office/drawing/2014/main" id="{8A66E4B0-914D-45D4-9B83-0DFFBEE4D66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3667140" y="1119855"/>
          <a:ext cx="1904004" cy="486215"/>
        </a:xfrm>
        <a:prstGeom prst="rect">
          <a:avLst/>
        </a:prstGeom>
      </xdr:spPr>
    </xdr:pic>
    <xdr:clientData/>
  </xdr:oneCellAnchor>
  <xdr:twoCellAnchor>
    <xdr:from>
      <xdr:col>2</xdr:col>
      <xdr:colOff>394267</xdr:colOff>
      <xdr:row>65</xdr:row>
      <xdr:rowOff>117815</xdr:rowOff>
    </xdr:from>
    <xdr:to>
      <xdr:col>12</xdr:col>
      <xdr:colOff>188231</xdr:colOff>
      <xdr:row>69</xdr:row>
      <xdr:rowOff>43656</xdr:rowOff>
    </xdr:to>
    <xdr:sp macro="" textlink="">
      <xdr:nvSpPr>
        <xdr:cNvPr id="14" name="Rectangle 12">
          <a:extLst>
            <a:ext uri="{FF2B5EF4-FFF2-40B4-BE49-F238E27FC236}">
              <a16:creationId xmlns:a16="http://schemas.microsoft.com/office/drawing/2014/main" id="{F2383E87-D6F6-46F2-83AD-FFEA9CFE5345}"/>
            </a:ext>
          </a:extLst>
        </xdr:cNvPr>
        <xdr:cNvSpPr/>
      </xdr:nvSpPr>
      <xdr:spPr>
        <a:xfrm>
          <a:off x="1561080" y="10952503"/>
          <a:ext cx="5628026" cy="592591"/>
        </a:xfrm>
        <a:prstGeom prst="rect">
          <a:avLst/>
        </a:prstGeom>
        <a:noFill/>
        <a:ln>
          <a:noFill/>
        </a:ln>
      </xdr:spPr>
      <xdr:txBody>
        <a:bodyPr spcFirstLastPara="1" wrap="square" lIns="91425" tIns="45700" rIns="91425" bIns="45700" anchor="t" anchorCtr="0">
          <a:noAutofit/>
        </a:bodyPr>
        <a:lstStyle/>
        <a:p>
          <a:pPr algn="just">
            <a:lnSpc>
              <a:spcPct val="120000"/>
            </a:lnSpc>
            <a:spcAft>
              <a:spcPts val="800"/>
            </a:spcAft>
          </a:pPr>
          <a:r>
            <a:rPr lang="et-EE" sz="800" kern="12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PAME hindamismetoodika valmis Euroopa Liidu rahalisel toetusel tehnilise abi rahastamisvahendi kaudu ja koostöös Euroopa Komisjoni struktuurireformide toetamise peadirektoraadiga.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xdr:txBody>
    </xdr:sp>
    <xdr:clientData/>
  </xdr:twoCellAnchor>
  <xdr:twoCellAnchor editAs="oneCell">
    <xdr:from>
      <xdr:col>9</xdr:col>
      <xdr:colOff>388409</xdr:colOff>
      <xdr:row>5</xdr:row>
      <xdr:rowOff>19950</xdr:rowOff>
    </xdr:from>
    <xdr:to>
      <xdr:col>14</xdr:col>
      <xdr:colOff>19314</xdr:colOff>
      <xdr:row>11</xdr:row>
      <xdr:rowOff>55094</xdr:rowOff>
    </xdr:to>
    <xdr:pic>
      <xdr:nvPicPr>
        <xdr:cNvPr id="16" name="Pilt 15">
          <a:extLst>
            <a:ext uri="{FF2B5EF4-FFF2-40B4-BE49-F238E27FC236}">
              <a16:creationId xmlns:a16="http://schemas.microsoft.com/office/drawing/2014/main" id="{E57ADC2B-A1E1-A6C8-EC6A-CFA656AAB405}"/>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5639065" y="853388"/>
          <a:ext cx="2547937" cy="10352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0</xdr:col>
      <xdr:colOff>476249</xdr:colOff>
      <xdr:row>27</xdr:row>
      <xdr:rowOff>1</xdr:rowOff>
    </xdr:from>
    <xdr:ext cx="7048501" cy="2111232"/>
    <xdr:sp macro="" textlink="Üldinfo!C6">
      <xdr:nvSpPr>
        <xdr:cNvPr id="8" name="TextBox 7">
          <a:extLst>
            <a:ext uri="{FF2B5EF4-FFF2-40B4-BE49-F238E27FC236}">
              <a16:creationId xmlns:a16="http://schemas.microsoft.com/office/drawing/2014/main" id="{66452796-7F01-9B7E-7C27-A31E541BB573}"/>
            </a:ext>
          </a:extLst>
        </xdr:cNvPr>
        <xdr:cNvSpPr txBox="1"/>
      </xdr:nvSpPr>
      <xdr:spPr>
        <a:xfrm>
          <a:off x="476249" y="4629151"/>
          <a:ext cx="7048501" cy="2111232"/>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b">
          <a:noAutofit/>
        </a:bodyPr>
        <a:lstStyle/>
        <a:p>
          <a:pPr algn="ctr"/>
          <a:fld id="{2AB1CBA8-A261-433C-B1F0-565E638613E7}" type="TxLink">
            <a:rPr lang="en-US" sz="2800" b="1" i="0" u="none" strike="noStrike">
              <a:solidFill>
                <a:srgbClr val="000000"/>
              </a:solidFill>
              <a:latin typeface="Montserrat SemiBold" panose="00000700000000000000" pitchFamily="2" charset="-70"/>
              <a:cs typeface="Arial"/>
            </a:rPr>
            <a:pPr algn="ctr"/>
            <a:t>Kasti maastikukaitseala</a:t>
          </a:fld>
          <a:endParaRPr lang="et-EE" sz="2000">
            <a:solidFill>
              <a:schemeClr val="tx1"/>
            </a:solidFill>
            <a:latin typeface="Montserrat SemiBold" panose="00000700000000000000" pitchFamily="2" charset="-70"/>
          </a:endParaRPr>
        </a:p>
      </xdr:txBody>
    </xdr:sp>
    <xdr:clientData/>
  </xdr:oneCellAnchor>
  <xdr:oneCellAnchor>
    <xdr:from>
      <xdr:col>0</xdr:col>
      <xdr:colOff>462642</xdr:colOff>
      <xdr:row>39</xdr:row>
      <xdr:rowOff>40823</xdr:rowOff>
    </xdr:from>
    <xdr:ext cx="7089321" cy="373757"/>
    <xdr:sp macro="" textlink="Üldinfo!C26">
      <xdr:nvSpPr>
        <xdr:cNvPr id="15" name="TextBox 14">
          <a:extLst>
            <a:ext uri="{FF2B5EF4-FFF2-40B4-BE49-F238E27FC236}">
              <a16:creationId xmlns:a16="http://schemas.microsoft.com/office/drawing/2014/main" id="{3E1D1E36-717E-1B20-A337-2FF687E12B9C}"/>
            </a:ext>
          </a:extLst>
        </xdr:cNvPr>
        <xdr:cNvSpPr txBox="1"/>
      </xdr:nvSpPr>
      <xdr:spPr>
        <a:xfrm>
          <a:off x="462642" y="6727373"/>
          <a:ext cx="7089321" cy="373757"/>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fld id="{50413A0D-041F-48F8-860D-6F405C006518}" type="TxLink">
            <a:rPr lang="en-US" sz="1800" b="0" i="0" u="none" strike="noStrike">
              <a:solidFill>
                <a:srgbClr val="000000"/>
              </a:solidFill>
              <a:latin typeface="Montserrat SemiBold" panose="00000700000000000000" pitchFamily="2" charset="-70"/>
              <a:cs typeface="Arial"/>
            </a:rPr>
            <a:pPr algn="ctr"/>
            <a:t>2026</a:t>
          </a:fld>
          <a:endParaRPr lang="et-EE" sz="1800">
            <a:solidFill>
              <a:schemeClr val="tx1"/>
            </a:solidFill>
            <a:latin typeface="Montserrat SemiBold" panose="00000700000000000000" pitchFamily="2" charset="-70"/>
          </a:endParaRPr>
        </a:p>
      </xdr:txBody>
    </xdr:sp>
    <xdr:clientData/>
  </xdr:oneCellAnchor>
  <xdr:oneCellAnchor>
    <xdr:from>
      <xdr:col>0</xdr:col>
      <xdr:colOff>476249</xdr:colOff>
      <xdr:row>41</xdr:row>
      <xdr:rowOff>54429</xdr:rowOff>
    </xdr:from>
    <xdr:ext cx="7089321" cy="373757"/>
    <xdr:sp macro="" textlink="Üldinfo!C25">
      <xdr:nvSpPr>
        <xdr:cNvPr id="18" name="TextBox 17">
          <a:extLst>
            <a:ext uri="{FF2B5EF4-FFF2-40B4-BE49-F238E27FC236}">
              <a16:creationId xmlns:a16="http://schemas.microsoft.com/office/drawing/2014/main" id="{D43291E6-0611-263D-BD23-888E71AB8F15}"/>
            </a:ext>
          </a:extLst>
        </xdr:cNvPr>
        <xdr:cNvSpPr txBox="1"/>
      </xdr:nvSpPr>
      <xdr:spPr>
        <a:xfrm>
          <a:off x="476249" y="6749143"/>
          <a:ext cx="7089321" cy="373757"/>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fld id="{DC3D5E8E-E00E-43CE-948D-10424FBC4F80}" type="TxLink">
            <a:rPr lang="en-US" sz="1800" b="0" i="0" u="none" strike="noStrike">
              <a:solidFill>
                <a:srgbClr val="000000"/>
              </a:solidFill>
              <a:latin typeface="Montserrat SemiBold" panose="00000700000000000000" pitchFamily="2" charset="-70"/>
              <a:cs typeface="Arial"/>
            </a:rPr>
            <a:pPr algn="ctr"/>
            <a:t>Andres Miller</a:t>
          </a:fld>
          <a:endParaRPr lang="et-EE" sz="1400">
            <a:solidFill>
              <a:schemeClr val="tx1"/>
            </a:solidFill>
            <a:latin typeface="Montserrat SemiBold" panose="00000700000000000000" pitchFamily="2" charset="-70"/>
          </a:endParaRPr>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1</xdr:col>
      <xdr:colOff>19050</xdr:colOff>
      <xdr:row>60</xdr:row>
      <xdr:rowOff>38100</xdr:rowOff>
    </xdr:from>
    <xdr:to>
      <xdr:col>6</xdr:col>
      <xdr:colOff>38100</xdr:colOff>
      <xdr:row>69</xdr:row>
      <xdr:rowOff>133350</xdr:rowOff>
    </xdr:to>
    <xdr:sp macro="[0]!Module1.GenereeriPDF" textlink="">
      <xdr:nvSpPr>
        <xdr:cNvPr id="3" name="Ristkülik 2">
          <a:extLst>
            <a:ext uri="{FF2B5EF4-FFF2-40B4-BE49-F238E27FC236}">
              <a16:creationId xmlns:a16="http://schemas.microsoft.com/office/drawing/2014/main" id="{48D2A8CC-CD6D-88CD-6F95-51626C3848DD}"/>
            </a:ext>
          </a:extLst>
        </xdr:cNvPr>
        <xdr:cNvSpPr/>
      </xdr:nvSpPr>
      <xdr:spPr>
        <a:xfrm>
          <a:off x="1752600" y="47682150"/>
          <a:ext cx="18173700" cy="1638300"/>
        </a:xfrm>
        <a:prstGeom prst="rect">
          <a:avLst/>
        </a:prstGeom>
        <a:solidFill>
          <a:srgbClr val="005861"/>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t-EE" sz="11500" b="1"/>
            <a:t>Genereeri PDF</a:t>
          </a:r>
        </a:p>
      </xdr:txBody>
    </xdr:sp>
    <xdr:clientData/>
  </xdr:twoCellAnchor>
</xdr:wsDr>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F7A26227-6132-4252-9079-1CAA26291158}" name="Tabel1" displayName="Tabel1" ref="A1:F56" totalsRowCount="1" headerRowDxfId="26" dataDxfId="25" totalsRowDxfId="24">
  <autoFilter ref="A1:F55" xr:uid="{F7A26227-6132-4252-9079-1CAA26291158}"/>
  <tableColumns count="6">
    <tableColumn id="1" xr3:uid="{F381E145-5FF8-43F7-9493-D68D73AE89D0}" name="Küsimuse nr" dataDxfId="23" totalsRowDxfId="22"/>
    <tableColumn id="6" xr3:uid="{D502EFAE-3856-4821-B6EB-F8EEC18B1F4F}" name="Valdkond" dataDxfId="21" totalsRowDxfId="20"/>
    <tableColumn id="5" xr3:uid="{CFA8B89A-68B0-4077-86BC-A70CCBDAB396}" name="Teema" dataDxfId="19" totalsRowDxfId="18"/>
    <tableColumn id="2" xr3:uid="{2690E62C-A214-4FC0-83C6-0F816EC27CFC}" name="Küsimus" dataDxfId="17" totalsRowDxfId="16"/>
    <tableColumn id="3" xr3:uid="{1AE5BBFA-32EA-4782-800B-09D0FFF0B969}" name="Max skoor" totalsRowFunction="custom" dataDxfId="15" totalsRowDxfId="14">
      <totalsRowFormula>SUM(Tabel1[Max skoor])</totalsRowFormula>
    </tableColumn>
    <tableColumn id="4" xr3:uid="{A9D5FA47-54A4-437B-A7A7-4393EF8A8407}" name="Hindamise skoor" totalsRowFunction="custom" dataDxfId="13" totalsRowDxfId="12">
      <calculatedColumnFormula>IF(Hindamistabel!J2=TRUE,0,IF(Hindamistabel!J3=TRUE,1,IF(Hindamistabel!J4=TRUE,1,IF(Hindamistabel!J5=TRUE,2,IF(Hindamistabel!J6=TRUE,2,"")))))</calculatedColumnFormula>
      <totalsRowFormula>SUM(Tabel1[Hindamise skoor])</totalsRowFormula>
    </tableColumn>
  </tableColumns>
  <tableStyleInfo name="TableStyleMedium6"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3EEC79C7-2A45-49C1-824D-8F81ACBF099B}" name="Tabel2" displayName="Tabel2" ref="A3:G57" totalsRowShown="0" headerRowDxfId="11" dataDxfId="9" headerRowBorderDxfId="10" tableBorderDxfId="8" totalsRowBorderDxfId="7">
  <autoFilter ref="A3:G57" xr:uid="{3EEC79C7-2A45-49C1-824D-8F81ACBF099B}"/>
  <tableColumns count="7">
    <tableColumn id="1" xr3:uid="{DAFE6776-0BBF-4284-9265-C280DFCC4AD3}" name="Küsimuse nr" dataDxfId="6"/>
    <tableColumn id="7" xr3:uid="{AF7CC00B-579B-4C7F-AF6D-DE3A2D2A6F8F}" name="Valdkond" dataDxfId="5"/>
    <tableColumn id="6" xr3:uid="{C53C7C3E-313D-4E63-B804-E84E56E61547}" name="Teema" dataDxfId="4"/>
    <tableColumn id="2" xr3:uid="{79E244D8-CBAD-48D0-B456-F0E1E47DFB6B}" name="Küsimus" dataDxfId="3"/>
    <tableColumn id="3" xr3:uid="{71E394DD-754B-4946-9084-7A7E1BEFB868}" name="Vastus" dataDxfId="2"/>
    <tableColumn id="4" xr3:uid="{86DF6E66-5C4B-4E69-905C-766A4A472070}" name="Vastamisel kasutatud andmeallikas" dataDxfId="1"/>
    <tableColumn id="5" xr3:uid="{0EB3D98C-D3E1-4E36-9803-2B6424BE196C}" name="Selgitused, lisainfo/_x000a_vastuse põhjendus" dataDxfId="0"/>
  </tableColumns>
  <tableStyleInfo name="TableStyleLight13" showFirstColumn="0" showLastColumn="0" showRowStripes="1" showColumnStripes="0"/>
</table>
</file>

<file path=xl/theme/theme1.xml><?xml version="1.0" encoding="utf-8"?>
<a:theme xmlns:a="http://schemas.openxmlformats.org/drawingml/2006/main" name="Office Theme">
  <a:themeElements>
    <a:clrScheme name="Trinomics_Cold">
      <a:dk1>
        <a:srgbClr val="000000"/>
      </a:dk1>
      <a:lt1>
        <a:srgbClr val="FFFFFF"/>
      </a:lt1>
      <a:dk2>
        <a:srgbClr val="000000"/>
      </a:dk2>
      <a:lt2>
        <a:srgbClr val="FFFFFF"/>
      </a:lt2>
      <a:accent1>
        <a:srgbClr val="002C54"/>
      </a:accent1>
      <a:accent2>
        <a:srgbClr val="36638A"/>
      </a:accent2>
      <a:accent3>
        <a:srgbClr val="6992B8"/>
      </a:accent3>
      <a:accent4>
        <a:srgbClr val="85C8E8"/>
      </a:accent4>
      <a:accent5>
        <a:srgbClr val="82B1AC"/>
      </a:accent5>
      <a:accent6>
        <a:srgbClr val="B2CFCD"/>
      </a:accent6>
      <a:hlink>
        <a:srgbClr val="0039A6"/>
      </a:hlink>
      <a:folHlink>
        <a:srgbClr val="6688CA"/>
      </a:folHlink>
    </a:clrScheme>
    <a:fontScheme name="Trebuchet MS">
      <a:majorFont>
        <a:latin typeface="Trebuchet MS" panose="020B0603020202020204"/>
        <a:ea typeface=""/>
        <a:cs typeface=""/>
        <a:font script="Jpan" typeface="HGｺﾞｼｯｸM"/>
        <a:font script="Hang" typeface="맑은 고딕"/>
        <a:font script="Hans" typeface="方正姚体"/>
        <a:font script="Hant" typeface="微軟正黑體"/>
        <a:font script="Arab" typeface="Tahoma"/>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Trebuchet MS" panose="020B0603020202020204"/>
        <a:ea typeface=""/>
        <a:cs typeface=""/>
        <a:font script="Jpan" typeface="HG丸ｺﾞｼｯｸM-PRO"/>
        <a:font script="Hang" typeface="HY그래픽M"/>
        <a:font script="Hans" typeface="华文新魏"/>
        <a:font script="Hant" typeface="微軟正黑體"/>
        <a:font script="Arab" typeface="Tahoma"/>
        <a:font script="Hebr" typeface="Gisha"/>
        <a:font script="Thai" typeface="IrisUPC"/>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xDef>
      <a:spPr>
        <a:noFill/>
        <a:ln>
          <a:solidFill>
            <a:schemeClr val="bg2"/>
          </a:solidFill>
        </a:ln>
      </a:spPr>
      <a:bodyPr vertOverflow="clip" horzOverflow="clip" wrap="none" rtlCol="0" anchor="t">
        <a:spAutoFit/>
      </a:bodyPr>
      <a:lstStyle>
        <a:defPPr>
          <a:defRPr sz="800">
            <a:solidFill>
              <a:schemeClr val="tx1"/>
            </a:solidFill>
          </a:defRPr>
        </a:defPPr>
      </a:lstStyle>
      <a:style>
        <a:lnRef idx="0">
          <a:scrgbClr r="0" g="0" b="0"/>
        </a:lnRef>
        <a:fillRef idx="0">
          <a:scrgbClr r="0" g="0" b="0"/>
        </a:fillRef>
        <a:effectRef idx="0">
          <a:scrgbClr r="0" g="0" b="0"/>
        </a:effectRef>
        <a:fontRef idx="minor">
          <a:schemeClr val="tx1"/>
        </a:fontRef>
      </a:style>
    </a:tx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FCF685-EEE7-4EB8-94EB-CF815C212EBB}">
  <sheetPr codeName="Leht7"/>
  <dimension ref="Q3:S144"/>
  <sheetViews>
    <sheetView zoomScale="50" zoomScaleNormal="50" workbookViewId="0">
      <selection activeCell="V37" sqref="V37"/>
    </sheetView>
  </sheetViews>
  <sheetFormatPr defaultColWidth="8.7109375" defaultRowHeight="12.75" x14ac:dyDescent="0.25"/>
  <cols>
    <col min="1" max="16384" width="8.7109375" style="71"/>
  </cols>
  <sheetData>
    <row r="3" s="71" customFormat="1" x14ac:dyDescent="0.25"/>
    <row r="4" s="71" customFormat="1" x14ac:dyDescent="0.25"/>
    <row r="5" s="71" customFormat="1" x14ac:dyDescent="0.25"/>
    <row r="6" s="71" customFormat="1" x14ac:dyDescent="0.25"/>
    <row r="7" s="71" customFormat="1" x14ac:dyDescent="0.25"/>
    <row r="8" s="71" customFormat="1" x14ac:dyDescent="0.25"/>
    <row r="9" s="71" customFormat="1" x14ac:dyDescent="0.25"/>
    <row r="10" s="71" customFormat="1" x14ac:dyDescent="0.25"/>
    <row r="11" s="71" customFormat="1" x14ac:dyDescent="0.25"/>
    <row r="12" s="71" customFormat="1" x14ac:dyDescent="0.25"/>
    <row r="13" s="71" customFormat="1" x14ac:dyDescent="0.25"/>
    <row r="14" s="71" customFormat="1" x14ac:dyDescent="0.25"/>
    <row r="15" s="71" customFormat="1" x14ac:dyDescent="0.25"/>
    <row r="16" s="71" customFormat="1" x14ac:dyDescent="0.25"/>
    <row r="17" s="71" customFormat="1" x14ac:dyDescent="0.25"/>
    <row r="18" s="71" customFormat="1" x14ac:dyDescent="0.25"/>
    <row r="19" s="71" customFormat="1" x14ac:dyDescent="0.25"/>
    <row r="20" s="71" customFormat="1" x14ac:dyDescent="0.25"/>
    <row r="21" s="71" customFormat="1" x14ac:dyDescent="0.25"/>
    <row r="22" s="71" customFormat="1" x14ac:dyDescent="0.25"/>
    <row r="23" s="71" customFormat="1" x14ac:dyDescent="0.25"/>
    <row r="24" s="71" customFormat="1" x14ac:dyDescent="0.25"/>
    <row r="25" s="71" customFormat="1" x14ac:dyDescent="0.25"/>
    <row r="26" s="71" customFormat="1" x14ac:dyDescent="0.25"/>
    <row r="27" s="71" customFormat="1" x14ac:dyDescent="0.25"/>
    <row r="28" s="71" customFormat="1" x14ac:dyDescent="0.25"/>
    <row r="30" s="71" customFormat="1" x14ac:dyDescent="0.25"/>
    <row r="31" s="71" customFormat="1" x14ac:dyDescent="0.25"/>
    <row r="32" s="71" customFormat="1" x14ac:dyDescent="0.25"/>
    <row r="37" spans="19:19" x14ac:dyDescent="0.25">
      <c r="S37"/>
    </row>
    <row r="62" spans="17:17" x14ac:dyDescent="0.25">
      <c r="Q62"/>
    </row>
    <row r="65" s="71" customFormat="1" x14ac:dyDescent="0.25"/>
    <row r="66" s="71" customFormat="1" x14ac:dyDescent="0.25"/>
    <row r="67" s="71" customFormat="1" x14ac:dyDescent="0.25"/>
    <row r="68" s="71" customFormat="1" x14ac:dyDescent="0.25"/>
    <row r="69" s="71" customFormat="1" x14ac:dyDescent="0.25"/>
    <row r="70" s="71" customFormat="1" x14ac:dyDescent="0.25"/>
    <row r="71" s="71" customFormat="1" x14ac:dyDescent="0.25"/>
    <row r="72" s="71" customFormat="1" x14ac:dyDescent="0.25"/>
    <row r="73" s="71" customFormat="1" x14ac:dyDescent="0.25"/>
    <row r="74" s="71" customFormat="1" x14ac:dyDescent="0.25"/>
    <row r="75" s="71" customFormat="1" x14ac:dyDescent="0.25"/>
    <row r="76" s="71" customFormat="1" x14ac:dyDescent="0.25"/>
    <row r="77" s="71" customFormat="1" x14ac:dyDescent="0.25"/>
    <row r="78" s="71" customFormat="1" x14ac:dyDescent="0.25"/>
    <row r="79" s="71" customFormat="1" x14ac:dyDescent="0.25"/>
    <row r="80" s="71" customFormat="1" x14ac:dyDescent="0.25"/>
    <row r="81" s="71" customFormat="1" x14ac:dyDescent="0.25"/>
    <row r="82" s="71" customFormat="1" x14ac:dyDescent="0.25"/>
    <row r="83" s="71" customFormat="1" x14ac:dyDescent="0.25"/>
    <row r="85" s="71" customFormat="1" x14ac:dyDescent="0.25"/>
    <row r="86" s="71" customFormat="1" x14ac:dyDescent="0.25"/>
    <row r="87" s="71" customFormat="1" x14ac:dyDescent="0.25"/>
    <row r="88" s="71" customFormat="1" x14ac:dyDescent="0.25"/>
    <row r="89" s="71" customFormat="1" x14ac:dyDescent="0.25"/>
    <row r="90" s="71" customFormat="1" x14ac:dyDescent="0.25"/>
    <row r="91" s="71" customFormat="1" x14ac:dyDescent="0.25"/>
    <row r="92" s="71" customFormat="1" x14ac:dyDescent="0.25"/>
    <row r="93" s="71" customFormat="1" x14ac:dyDescent="0.25"/>
    <row r="94" s="71" customFormat="1" x14ac:dyDescent="0.25"/>
    <row r="95" s="71" customFormat="1" x14ac:dyDescent="0.25"/>
    <row r="96" s="71" customFormat="1" x14ac:dyDescent="0.25"/>
    <row r="97" s="71" customFormat="1" x14ac:dyDescent="0.25"/>
    <row r="98" s="71" customFormat="1" x14ac:dyDescent="0.25"/>
    <row r="99" s="71" customFormat="1" x14ac:dyDescent="0.25"/>
    <row r="100" s="71" customFormat="1" x14ac:dyDescent="0.25"/>
    <row r="102" s="71" customFormat="1" x14ac:dyDescent="0.25"/>
    <row r="103" s="71" customFormat="1" x14ac:dyDescent="0.25"/>
    <row r="104" s="71" customFormat="1" x14ac:dyDescent="0.25"/>
    <row r="105" s="71" customFormat="1" x14ac:dyDescent="0.25"/>
    <row r="106" s="71" customFormat="1" x14ac:dyDescent="0.25"/>
    <row r="107" s="71" customFormat="1" x14ac:dyDescent="0.25"/>
    <row r="108" s="71" customFormat="1" x14ac:dyDescent="0.25"/>
    <row r="109" s="71" customFormat="1" x14ac:dyDescent="0.25"/>
    <row r="110" s="71" customFormat="1" x14ac:dyDescent="0.25"/>
    <row r="111" s="71" customFormat="1" x14ac:dyDescent="0.25"/>
    <row r="112" s="71" customFormat="1" x14ac:dyDescent="0.25"/>
    <row r="113" s="71" customFormat="1" x14ac:dyDescent="0.25"/>
    <row r="114" s="71" customFormat="1" x14ac:dyDescent="0.25"/>
    <row r="115" s="71" customFormat="1" x14ac:dyDescent="0.25"/>
    <row r="116" s="71" customFormat="1" x14ac:dyDescent="0.25"/>
    <row r="117" s="71" customFormat="1" x14ac:dyDescent="0.25"/>
    <row r="118" s="71" customFormat="1" x14ac:dyDescent="0.25"/>
    <row r="119" s="71" customFormat="1" x14ac:dyDescent="0.25"/>
    <row r="120" s="71" customFormat="1" x14ac:dyDescent="0.25"/>
    <row r="121" s="71" customFormat="1" x14ac:dyDescent="0.25"/>
    <row r="122" s="71" customFormat="1" x14ac:dyDescent="0.25"/>
    <row r="123" s="71" customFormat="1" x14ac:dyDescent="0.25"/>
    <row r="124" s="71" customFormat="1" x14ac:dyDescent="0.25"/>
    <row r="125" s="71" customFormat="1" x14ac:dyDescent="0.25"/>
    <row r="126" s="71" customFormat="1" x14ac:dyDescent="0.25"/>
    <row r="127" s="71" customFormat="1" x14ac:dyDescent="0.25"/>
    <row r="128" s="71" customFormat="1" x14ac:dyDescent="0.25"/>
    <row r="129" s="71" customFormat="1" x14ac:dyDescent="0.25"/>
    <row r="130" s="71" customFormat="1" x14ac:dyDescent="0.25"/>
    <row r="131" s="71" customFormat="1" x14ac:dyDescent="0.25"/>
    <row r="132" s="71" customFormat="1" x14ac:dyDescent="0.25"/>
    <row r="133" s="71" customFormat="1" x14ac:dyDescent="0.25"/>
    <row r="134" s="71" customFormat="1" x14ac:dyDescent="0.25"/>
    <row r="135" s="71" customFormat="1" x14ac:dyDescent="0.25"/>
    <row r="136" s="71" customFormat="1" x14ac:dyDescent="0.25"/>
    <row r="137" s="71" customFormat="1" x14ac:dyDescent="0.25"/>
    <row r="138" s="71" customFormat="1" x14ac:dyDescent="0.25"/>
    <row r="139" s="71" customFormat="1" x14ac:dyDescent="0.25"/>
    <row r="140" s="71" customFormat="1" x14ac:dyDescent="0.25"/>
    <row r="141" s="71" customFormat="1" x14ac:dyDescent="0.25"/>
    <row r="142" s="71" customFormat="1" x14ac:dyDescent="0.25"/>
    <row r="143" s="71" customFormat="1" x14ac:dyDescent="0.25"/>
    <row r="144" s="71" customFormat="1" x14ac:dyDescent="0.25"/>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AA3F7B-8210-4CD6-8EAF-A00045DCA795}">
  <sheetPr codeName="Leht2"/>
  <dimension ref="B3:C43"/>
  <sheetViews>
    <sheetView showGridLines="0" zoomScaleNormal="100" workbookViewId="0">
      <selection activeCell="A38" sqref="A38:XFD38"/>
    </sheetView>
  </sheetViews>
  <sheetFormatPr defaultRowHeight="12.75" x14ac:dyDescent="0.25"/>
  <cols>
    <col min="2" max="2" width="37.28515625" bestFit="1" customWidth="1"/>
    <col min="3" max="3" width="118.42578125" customWidth="1"/>
  </cols>
  <sheetData>
    <row r="3" spans="2:3" ht="28.5" thickBot="1" x14ac:dyDescent="0.55000000000000004">
      <c r="B3" s="252" t="s">
        <v>0</v>
      </c>
      <c r="C3" s="252"/>
    </row>
    <row r="4" spans="2:3" ht="13.5" thickTop="1" x14ac:dyDescent="0.25"/>
    <row r="6" spans="2:3" ht="15.75" customHeight="1" x14ac:dyDescent="0.25">
      <c r="B6" s="126" t="s">
        <v>1</v>
      </c>
      <c r="C6" s="126" t="s">
        <v>2</v>
      </c>
    </row>
    <row r="7" spans="2:3" ht="16.5" x14ac:dyDescent="0.25">
      <c r="B7" s="127" t="s">
        <v>3</v>
      </c>
      <c r="C7" s="128" t="s">
        <v>4</v>
      </c>
    </row>
    <row r="8" spans="2:3" ht="16.5" x14ac:dyDescent="0.25">
      <c r="B8" s="127" t="s">
        <v>5</v>
      </c>
      <c r="C8" s="128" t="s">
        <v>6</v>
      </c>
    </row>
    <row r="9" spans="2:3" ht="33" x14ac:dyDescent="0.25">
      <c r="B9" s="127" t="s">
        <v>7</v>
      </c>
      <c r="C9" s="128" t="s">
        <v>8</v>
      </c>
    </row>
    <row r="10" spans="2:3" ht="16.5" x14ac:dyDescent="0.25">
      <c r="B10" s="127" t="s">
        <v>9</v>
      </c>
      <c r="C10" s="129" t="s">
        <v>10</v>
      </c>
    </row>
    <row r="11" spans="2:3" ht="66" x14ac:dyDescent="0.25">
      <c r="B11" s="127" t="s">
        <v>11</v>
      </c>
      <c r="C11" s="128" t="s">
        <v>12</v>
      </c>
    </row>
    <row r="12" spans="2:3" ht="33" x14ac:dyDescent="0.25">
      <c r="B12" s="127" t="s">
        <v>13</v>
      </c>
      <c r="C12" s="128" t="s">
        <v>14</v>
      </c>
    </row>
    <row r="13" spans="2:3" ht="231" x14ac:dyDescent="0.25">
      <c r="B13" s="130" t="s">
        <v>15</v>
      </c>
      <c r="C13" s="128" t="s">
        <v>440</v>
      </c>
    </row>
    <row r="14" spans="2:3" ht="49.5" x14ac:dyDescent="0.25">
      <c r="B14" s="127" t="s">
        <v>16</v>
      </c>
      <c r="C14" s="128" t="s">
        <v>441</v>
      </c>
    </row>
    <row r="15" spans="2:3" ht="33" x14ac:dyDescent="0.25">
      <c r="B15" s="127" t="s">
        <v>17</v>
      </c>
      <c r="C15" s="128" t="s">
        <v>18</v>
      </c>
    </row>
    <row r="16" spans="2:3" ht="33" x14ac:dyDescent="0.25">
      <c r="B16" s="127" t="s">
        <v>19</v>
      </c>
      <c r="C16" s="128" t="s">
        <v>20</v>
      </c>
    </row>
    <row r="17" spans="2:3" ht="66" x14ac:dyDescent="0.25">
      <c r="B17" s="127" t="s">
        <v>452</v>
      </c>
      <c r="C17" s="128" t="s">
        <v>453</v>
      </c>
    </row>
    <row r="18" spans="2:3" ht="16.5" x14ac:dyDescent="0.25">
      <c r="B18" s="131"/>
      <c r="C18" s="131"/>
    </row>
    <row r="19" spans="2:3" ht="16.5" x14ac:dyDescent="0.25">
      <c r="B19" s="126" t="s">
        <v>21</v>
      </c>
      <c r="C19" s="126" t="s">
        <v>2</v>
      </c>
    </row>
    <row r="20" spans="2:3" ht="18" customHeight="1" x14ac:dyDescent="0.25">
      <c r="B20" s="129" t="s">
        <v>22</v>
      </c>
      <c r="C20" s="132" t="s">
        <v>23</v>
      </c>
    </row>
    <row r="21" spans="2:3" ht="16.5" x14ac:dyDescent="0.25">
      <c r="B21" s="129" t="s">
        <v>24</v>
      </c>
      <c r="C21" s="132" t="s">
        <v>25</v>
      </c>
    </row>
    <row r="22" spans="2:3" ht="16.5" x14ac:dyDescent="0.25">
      <c r="B22" s="129" t="s">
        <v>26</v>
      </c>
      <c r="C22" s="132" t="s">
        <v>27</v>
      </c>
    </row>
    <row r="23" spans="2:3" ht="16.5" x14ac:dyDescent="0.25">
      <c r="B23" s="132" t="s">
        <v>28</v>
      </c>
      <c r="C23" s="132" t="s">
        <v>29</v>
      </c>
    </row>
    <row r="24" spans="2:3" ht="16.5" x14ac:dyDescent="0.25">
      <c r="B24" s="132" t="s">
        <v>30</v>
      </c>
      <c r="C24" s="132" t="s">
        <v>31</v>
      </c>
    </row>
    <row r="25" spans="2:3" ht="16.5" x14ac:dyDescent="0.25">
      <c r="B25" s="132" t="s">
        <v>32</v>
      </c>
      <c r="C25" s="132" t="s">
        <v>33</v>
      </c>
    </row>
    <row r="26" spans="2:3" ht="16.5" x14ac:dyDescent="0.25">
      <c r="B26" s="132" t="s">
        <v>34</v>
      </c>
      <c r="C26" s="132" t="s">
        <v>35</v>
      </c>
    </row>
    <row r="27" spans="2:3" ht="16.5" x14ac:dyDescent="0.25">
      <c r="B27" s="132" t="s">
        <v>36</v>
      </c>
      <c r="C27" s="132" t="s">
        <v>37</v>
      </c>
    </row>
    <row r="28" spans="2:3" ht="16.5" x14ac:dyDescent="0.25">
      <c r="B28" s="132" t="s">
        <v>38</v>
      </c>
      <c r="C28" s="132" t="s">
        <v>39</v>
      </c>
    </row>
    <row r="29" spans="2:3" ht="33" x14ac:dyDescent="0.25">
      <c r="B29" s="132" t="s">
        <v>40</v>
      </c>
      <c r="C29" s="133" t="s">
        <v>41</v>
      </c>
    </row>
    <row r="30" spans="2:3" ht="16.5" x14ac:dyDescent="0.25">
      <c r="B30" s="132" t="s">
        <v>42</v>
      </c>
      <c r="C30" s="132" t="s">
        <v>43</v>
      </c>
    </row>
    <row r="31" spans="2:3" ht="16.5" x14ac:dyDescent="0.25">
      <c r="B31" s="132" t="s">
        <v>44</v>
      </c>
      <c r="C31" s="132" t="s">
        <v>45</v>
      </c>
    </row>
    <row r="32" spans="2:3" ht="16.5" x14ac:dyDescent="0.25">
      <c r="B32" s="132" t="s">
        <v>460</v>
      </c>
      <c r="C32" s="132" t="s">
        <v>46</v>
      </c>
    </row>
    <row r="33" spans="2:3" ht="16.5" x14ac:dyDescent="0.25">
      <c r="B33" s="132" t="s">
        <v>47</v>
      </c>
      <c r="C33" s="132" t="s">
        <v>48</v>
      </c>
    </row>
    <row r="34" spans="2:3" ht="16.5" x14ac:dyDescent="0.25">
      <c r="B34" s="132" t="s">
        <v>49</v>
      </c>
      <c r="C34" s="132" t="s">
        <v>50</v>
      </c>
    </row>
    <row r="35" spans="2:3" ht="16.5" x14ac:dyDescent="0.25">
      <c r="B35" s="132" t="s">
        <v>51</v>
      </c>
      <c r="C35" s="132" t="s">
        <v>52</v>
      </c>
    </row>
    <row r="36" spans="2:3" ht="16.5" x14ac:dyDescent="0.25">
      <c r="B36" s="132" t="s">
        <v>53</v>
      </c>
      <c r="C36" s="132" t="s">
        <v>54</v>
      </c>
    </row>
    <row r="37" spans="2:3" ht="16.5" x14ac:dyDescent="0.25">
      <c r="B37" s="132" t="s">
        <v>55</v>
      </c>
      <c r="C37" s="132"/>
    </row>
    <row r="38" spans="2:3" ht="16.5" x14ac:dyDescent="0.25">
      <c r="B38" s="131"/>
      <c r="C38" s="131"/>
    </row>
    <row r="39" spans="2:3" ht="33" x14ac:dyDescent="0.25">
      <c r="B39" s="126" t="s">
        <v>374</v>
      </c>
      <c r="C39" s="126" t="s">
        <v>2</v>
      </c>
    </row>
    <row r="40" spans="2:3" ht="16.5" x14ac:dyDescent="0.25">
      <c r="B40" s="128" t="s">
        <v>375</v>
      </c>
      <c r="C40" s="133" t="s">
        <v>376</v>
      </c>
    </row>
    <row r="41" spans="2:3" ht="16.5" x14ac:dyDescent="0.25">
      <c r="B41" s="133" t="s">
        <v>377</v>
      </c>
      <c r="C41" s="133" t="s">
        <v>378</v>
      </c>
    </row>
    <row r="42" spans="2:3" ht="16.5" x14ac:dyDescent="0.25">
      <c r="B42" s="133" t="s">
        <v>379</v>
      </c>
      <c r="C42" s="133" t="s">
        <v>380</v>
      </c>
    </row>
    <row r="43" spans="2:3" ht="16.5" x14ac:dyDescent="0.25">
      <c r="B43" s="133" t="s">
        <v>381</v>
      </c>
      <c r="C43" s="133" t="s">
        <v>382</v>
      </c>
    </row>
  </sheetData>
  <mergeCells count="1">
    <mergeCell ref="B3:C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D6EECE-D75C-4896-B3DD-D13243EE400B}">
  <sheetPr codeName="Leht3"/>
  <dimension ref="B3:D29"/>
  <sheetViews>
    <sheetView showGridLines="0" tabSelected="1" zoomScaleNormal="100" workbookViewId="0">
      <selection activeCell="C27" sqref="C27"/>
    </sheetView>
  </sheetViews>
  <sheetFormatPr defaultColWidth="9" defaultRowHeight="12.75" x14ac:dyDescent="0.25"/>
  <cols>
    <col min="1" max="1" width="9" customWidth="1"/>
    <col min="2" max="2" width="49.140625" customWidth="1"/>
    <col min="3" max="3" width="61" customWidth="1"/>
  </cols>
  <sheetData>
    <row r="3" spans="2:4" ht="19.5" thickBot="1" x14ac:dyDescent="0.4">
      <c r="B3" s="134" t="s">
        <v>56</v>
      </c>
      <c r="C3" s="1"/>
    </row>
    <row r="4" spans="2:4" ht="13.5" thickTop="1" x14ac:dyDescent="0.25"/>
    <row r="5" spans="2:4" ht="13.5" x14ac:dyDescent="0.25">
      <c r="B5" s="135" t="s">
        <v>57</v>
      </c>
      <c r="C5" s="135" t="s">
        <v>58</v>
      </c>
    </row>
    <row r="6" spans="2:4" x14ac:dyDescent="0.25">
      <c r="B6" s="37" t="s">
        <v>59</v>
      </c>
      <c r="C6" s="38" t="s">
        <v>467</v>
      </c>
    </row>
    <row r="7" spans="2:4" x14ac:dyDescent="0.25">
      <c r="B7" s="37" t="s">
        <v>60</v>
      </c>
      <c r="C7" s="36" t="s">
        <v>468</v>
      </c>
    </row>
    <row r="8" spans="2:4" x14ac:dyDescent="0.25">
      <c r="B8" s="37" t="s">
        <v>61</v>
      </c>
      <c r="C8" s="36" t="s">
        <v>469</v>
      </c>
    </row>
    <row r="9" spans="2:4" x14ac:dyDescent="0.25">
      <c r="B9" s="37" t="s">
        <v>62</v>
      </c>
      <c r="C9" s="36" t="s">
        <v>470</v>
      </c>
      <c r="D9" s="45"/>
    </row>
    <row r="10" spans="2:4" x14ac:dyDescent="0.25">
      <c r="B10" s="37" t="s">
        <v>63</v>
      </c>
      <c r="C10" s="37"/>
    </row>
    <row r="11" spans="2:4" x14ac:dyDescent="0.25">
      <c r="B11" s="65" t="s">
        <v>64</v>
      </c>
      <c r="C11" s="37" t="s">
        <v>103</v>
      </c>
    </row>
    <row r="12" spans="2:4" x14ac:dyDescent="0.25">
      <c r="B12" s="65" t="s">
        <v>65</v>
      </c>
      <c r="C12" s="37" t="s">
        <v>103</v>
      </c>
    </row>
    <row r="13" spans="2:4" x14ac:dyDescent="0.25">
      <c r="B13" s="65" t="s">
        <v>66</v>
      </c>
      <c r="C13" s="37">
        <v>0</v>
      </c>
    </row>
    <row r="14" spans="2:4" x14ac:dyDescent="0.25">
      <c r="B14" s="65" t="s">
        <v>67</v>
      </c>
      <c r="C14" s="37">
        <v>0</v>
      </c>
    </row>
    <row r="15" spans="2:4" x14ac:dyDescent="0.25">
      <c r="B15" s="65" t="s">
        <v>68</v>
      </c>
      <c r="C15" s="37">
        <v>1</v>
      </c>
    </row>
    <row r="16" spans="2:4" x14ac:dyDescent="0.25">
      <c r="B16" s="65" t="s">
        <v>69</v>
      </c>
      <c r="C16" s="37" t="s">
        <v>471</v>
      </c>
    </row>
    <row r="17" spans="2:4" x14ac:dyDescent="0.25">
      <c r="B17" s="37" t="s">
        <v>70</v>
      </c>
      <c r="C17" s="37" t="s">
        <v>472</v>
      </c>
      <c r="D17" s="63"/>
    </row>
    <row r="18" spans="2:4" x14ac:dyDescent="0.25">
      <c r="B18" s="37" t="s">
        <v>71</v>
      </c>
      <c r="C18" s="37" t="s">
        <v>474</v>
      </c>
    </row>
    <row r="19" spans="2:4" x14ac:dyDescent="0.25">
      <c r="B19" s="37" t="s">
        <v>72</v>
      </c>
      <c r="C19" s="37" t="s">
        <v>473</v>
      </c>
    </row>
    <row r="20" spans="2:4" x14ac:dyDescent="0.25">
      <c r="B20" s="37" t="s">
        <v>73</v>
      </c>
      <c r="C20" s="37">
        <v>499.53</v>
      </c>
    </row>
    <row r="21" spans="2:4" x14ac:dyDescent="0.25">
      <c r="B21" s="37" t="s">
        <v>74</v>
      </c>
      <c r="C21" s="37">
        <v>202.4</v>
      </c>
    </row>
    <row r="22" spans="2:4" x14ac:dyDescent="0.25">
      <c r="B22" s="37" t="s">
        <v>75</v>
      </c>
      <c r="C22" s="37">
        <v>118.57</v>
      </c>
    </row>
    <row r="23" spans="2:4" ht="38.25" x14ac:dyDescent="0.25">
      <c r="B23" s="37" t="s">
        <v>76</v>
      </c>
      <c r="C23" s="37" t="s">
        <v>475</v>
      </c>
    </row>
    <row r="24" spans="2:4" x14ac:dyDescent="0.25">
      <c r="B24" s="37" t="s">
        <v>77</v>
      </c>
      <c r="C24" s="37" t="s">
        <v>480</v>
      </c>
    </row>
    <row r="25" spans="2:4" x14ac:dyDescent="0.25">
      <c r="B25" s="37" t="s">
        <v>78</v>
      </c>
      <c r="C25" s="37" t="s">
        <v>476</v>
      </c>
    </row>
    <row r="26" spans="2:4" x14ac:dyDescent="0.25">
      <c r="B26" s="37" t="s">
        <v>454</v>
      </c>
      <c r="C26" s="37">
        <f ca="1">YEAR(TODAY())</f>
        <v>2026</v>
      </c>
    </row>
    <row r="27" spans="2:4" ht="51" x14ac:dyDescent="0.25">
      <c r="B27" s="37" t="s">
        <v>403</v>
      </c>
      <c r="C27" s="39">
        <v>46200</v>
      </c>
    </row>
    <row r="28" spans="2:4" ht="25.5" x14ac:dyDescent="0.25">
      <c r="B28" s="37" t="s">
        <v>79</v>
      </c>
      <c r="C28" s="36" t="s">
        <v>477</v>
      </c>
    </row>
    <row r="29" spans="2:4" ht="39.75" customHeight="1" x14ac:dyDescent="0.25">
      <c r="B29" s="37" t="s">
        <v>80</v>
      </c>
      <c r="C29" s="36" t="s">
        <v>478</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05072D-CFB5-418C-9F61-F9B1D3520A49}">
  <sheetPr codeName="Leht4">
    <pageSetUpPr fitToPage="1"/>
  </sheetPr>
  <dimension ref="A1:L198"/>
  <sheetViews>
    <sheetView showGridLines="0" zoomScale="80" zoomScaleNormal="80" zoomScaleSheetLayoutView="70" workbookViewId="0">
      <pane xSplit="4" ySplit="1" topLeftCell="F188" activePane="bottomRight" state="frozen"/>
      <selection pane="topRight" activeCell="D1" sqref="D1"/>
      <selection pane="bottomLeft" activeCell="A2" sqref="A2"/>
      <selection pane="bottomRight"/>
    </sheetView>
  </sheetViews>
  <sheetFormatPr defaultColWidth="9" defaultRowHeight="12.75" x14ac:dyDescent="0.25"/>
  <cols>
    <col min="1" max="1" width="14.5703125" style="28" bestFit="1" customWidth="1"/>
    <col min="2" max="2" width="12.42578125" style="28" bestFit="1" customWidth="1"/>
    <col min="3" max="3" width="10.85546875" style="28" customWidth="1"/>
    <col min="4" max="4" width="32.7109375" style="70" customWidth="1"/>
    <col min="5" max="5" width="71.140625" style="27" customWidth="1"/>
    <col min="6" max="6" width="17.5703125" style="28" customWidth="1"/>
    <col min="7" max="7" width="18.5703125" style="27" customWidth="1"/>
    <col min="8" max="8" width="40.7109375" style="30" customWidth="1"/>
    <col min="9" max="9" width="11.5703125" style="28" customWidth="1"/>
    <col min="10" max="10" width="26.140625" style="30" customWidth="1"/>
    <col min="11" max="11" width="22.28515625" style="28" customWidth="1"/>
    <col min="12" max="12" width="34.42578125" style="27" customWidth="1"/>
    <col min="13" max="16384" width="9" style="30"/>
  </cols>
  <sheetData>
    <row r="1" spans="1:12" s="14" customFormat="1" ht="114.75" x14ac:dyDescent="0.25">
      <c r="A1" s="2" t="s">
        <v>81</v>
      </c>
      <c r="B1" s="2" t="s">
        <v>82</v>
      </c>
      <c r="C1" s="2" t="s">
        <v>83</v>
      </c>
      <c r="D1" s="2" t="s">
        <v>57</v>
      </c>
      <c r="E1" s="2" t="s">
        <v>84</v>
      </c>
      <c r="F1" s="2" t="s">
        <v>85</v>
      </c>
      <c r="G1" s="2" t="s">
        <v>86</v>
      </c>
      <c r="H1" s="2" t="s">
        <v>87</v>
      </c>
      <c r="I1" s="2" t="s">
        <v>88</v>
      </c>
      <c r="J1" s="3" t="s">
        <v>386</v>
      </c>
      <c r="K1" s="3" t="s">
        <v>89</v>
      </c>
      <c r="L1" s="3" t="s">
        <v>373</v>
      </c>
    </row>
    <row r="2" spans="1:12" s="14" customFormat="1" x14ac:dyDescent="0.25">
      <c r="A2" s="175" t="s">
        <v>90</v>
      </c>
      <c r="B2" s="175" t="s">
        <v>90</v>
      </c>
      <c r="C2" s="189">
        <v>0</v>
      </c>
      <c r="D2" s="192" t="s">
        <v>91</v>
      </c>
      <c r="E2" s="200" t="s">
        <v>92</v>
      </c>
      <c r="F2" s="196" t="s">
        <v>93</v>
      </c>
      <c r="G2" s="210" t="s">
        <v>94</v>
      </c>
      <c r="H2" s="100" t="s">
        <v>95</v>
      </c>
      <c r="I2" s="5">
        <v>0</v>
      </c>
      <c r="J2" s="72" t="b">
        <v>0</v>
      </c>
      <c r="K2" s="6"/>
      <c r="L2" s="57"/>
    </row>
    <row r="3" spans="1:12" s="14" customFormat="1" ht="45" customHeight="1" x14ac:dyDescent="0.25">
      <c r="A3" s="176"/>
      <c r="B3" s="176"/>
      <c r="C3" s="190"/>
      <c r="D3" s="194"/>
      <c r="E3" s="202"/>
      <c r="F3" s="198"/>
      <c r="G3" s="211"/>
      <c r="H3" s="7" t="s">
        <v>96</v>
      </c>
      <c r="I3" s="8">
        <v>1</v>
      </c>
      <c r="J3" s="73" t="b">
        <v>0</v>
      </c>
      <c r="K3" s="9"/>
      <c r="L3" s="57"/>
    </row>
    <row r="4" spans="1:12" s="14" customFormat="1" ht="26.25" customHeight="1" x14ac:dyDescent="0.25">
      <c r="A4" s="176"/>
      <c r="B4" s="176"/>
      <c r="C4" s="190"/>
      <c r="D4" s="194"/>
      <c r="E4" s="202"/>
      <c r="F4" s="198"/>
      <c r="G4" s="211"/>
      <c r="H4" s="7" t="s">
        <v>97</v>
      </c>
      <c r="I4" s="8">
        <v>1</v>
      </c>
      <c r="J4" s="73" t="b">
        <v>0</v>
      </c>
      <c r="K4" s="9"/>
      <c r="L4" s="57"/>
    </row>
    <row r="5" spans="1:12" s="14" customFormat="1" ht="25.5" x14ac:dyDescent="0.25">
      <c r="A5" s="176"/>
      <c r="B5" s="176"/>
      <c r="C5" s="190"/>
      <c r="D5" s="194"/>
      <c r="E5" s="202"/>
      <c r="F5" s="198"/>
      <c r="G5" s="211"/>
      <c r="H5" s="7" t="s">
        <v>98</v>
      </c>
      <c r="I5" s="8">
        <v>2</v>
      </c>
      <c r="J5" s="73" t="b">
        <v>0</v>
      </c>
      <c r="K5" s="9"/>
      <c r="L5" s="57"/>
    </row>
    <row r="6" spans="1:12" s="14" customFormat="1" ht="51" x14ac:dyDescent="0.25">
      <c r="A6" s="176"/>
      <c r="B6" s="176"/>
      <c r="C6" s="190"/>
      <c r="D6" s="194"/>
      <c r="E6" s="202"/>
      <c r="F6" s="198"/>
      <c r="G6" s="211"/>
      <c r="H6" s="7" t="s">
        <v>99</v>
      </c>
      <c r="I6" s="8">
        <v>2</v>
      </c>
      <c r="J6" s="73" t="b">
        <v>0</v>
      </c>
      <c r="K6" s="9"/>
      <c r="L6" s="57"/>
    </row>
    <row r="7" spans="1:12" s="14" customFormat="1" x14ac:dyDescent="0.25">
      <c r="A7" s="176"/>
      <c r="B7" s="176"/>
      <c r="C7" s="190"/>
      <c r="D7" s="194"/>
      <c r="E7" s="202"/>
      <c r="F7" s="198"/>
      <c r="G7" s="211"/>
      <c r="H7" s="7" t="s">
        <v>100</v>
      </c>
      <c r="I7" s="8">
        <v>3</v>
      </c>
      <c r="J7" s="73" t="b">
        <v>0</v>
      </c>
      <c r="K7" s="9"/>
      <c r="L7" s="57"/>
    </row>
    <row r="8" spans="1:12" s="14" customFormat="1" ht="51" x14ac:dyDescent="0.25">
      <c r="A8" s="176"/>
      <c r="B8" s="176"/>
      <c r="C8" s="190"/>
      <c r="D8" s="194"/>
      <c r="E8" s="202"/>
      <c r="F8" s="198"/>
      <c r="G8" s="211"/>
      <c r="H8" s="7" t="s">
        <v>101</v>
      </c>
      <c r="I8" s="8">
        <v>3</v>
      </c>
      <c r="J8" s="73" t="b">
        <v>1</v>
      </c>
      <c r="K8" s="9" t="s">
        <v>288</v>
      </c>
      <c r="L8" s="57" t="s">
        <v>479</v>
      </c>
    </row>
    <row r="9" spans="1:12" s="14" customFormat="1" ht="25.5" x14ac:dyDescent="0.25">
      <c r="A9" s="177"/>
      <c r="B9" s="177"/>
      <c r="C9" s="191"/>
      <c r="D9" s="195"/>
      <c r="E9" s="203"/>
      <c r="F9" s="199"/>
      <c r="G9" s="212"/>
      <c r="H9" s="101" t="s">
        <v>102</v>
      </c>
      <c r="I9" s="11" t="s">
        <v>385</v>
      </c>
      <c r="J9" s="74" t="b">
        <v>0</v>
      </c>
      <c r="K9" s="12"/>
      <c r="L9" s="58"/>
    </row>
    <row r="10" spans="1:12" s="14" customFormat="1" ht="84" customHeight="1" x14ac:dyDescent="0.25">
      <c r="A10" s="175" t="s">
        <v>104</v>
      </c>
      <c r="B10" s="175" t="s">
        <v>105</v>
      </c>
      <c r="C10" s="189" t="s">
        <v>106</v>
      </c>
      <c r="D10" s="247" t="s">
        <v>107</v>
      </c>
      <c r="E10" s="178" t="s">
        <v>108</v>
      </c>
      <c r="F10" s="175" t="s">
        <v>93</v>
      </c>
      <c r="G10" s="175" t="s">
        <v>109</v>
      </c>
      <c r="H10" s="100" t="s">
        <v>110</v>
      </c>
      <c r="I10" s="5">
        <v>0</v>
      </c>
      <c r="J10" s="75" t="b">
        <v>1</v>
      </c>
      <c r="K10" s="17" t="s">
        <v>488</v>
      </c>
      <c r="L10" s="4" t="s">
        <v>481</v>
      </c>
    </row>
    <row r="11" spans="1:12" s="14" customFormat="1" ht="27.75" customHeight="1" x14ac:dyDescent="0.25">
      <c r="A11" s="176"/>
      <c r="B11" s="176"/>
      <c r="C11" s="190"/>
      <c r="D11" s="231"/>
      <c r="E11" s="233"/>
      <c r="F11" s="176"/>
      <c r="G11" s="176"/>
      <c r="H11" s="7" t="s">
        <v>111</v>
      </c>
      <c r="I11" s="8">
        <v>1</v>
      </c>
      <c r="J11" s="76" t="b">
        <v>0</v>
      </c>
      <c r="K11" s="15"/>
      <c r="L11" s="7"/>
    </row>
    <row r="12" spans="1:12" s="14" customFormat="1" ht="27.75" customHeight="1" x14ac:dyDescent="0.25">
      <c r="A12" s="176"/>
      <c r="B12" s="176"/>
      <c r="C12" s="190"/>
      <c r="D12" s="231"/>
      <c r="E12" s="233"/>
      <c r="F12" s="176"/>
      <c r="G12" s="176"/>
      <c r="H12" s="7" t="s">
        <v>112</v>
      </c>
      <c r="I12" s="8">
        <v>2</v>
      </c>
      <c r="J12" s="76" t="b">
        <v>0</v>
      </c>
      <c r="K12" s="15"/>
      <c r="L12" s="7"/>
    </row>
    <row r="13" spans="1:12" s="14" customFormat="1" ht="27.75" customHeight="1" x14ac:dyDescent="0.25">
      <c r="A13" s="176"/>
      <c r="B13" s="176"/>
      <c r="C13" s="190"/>
      <c r="D13" s="231"/>
      <c r="E13" s="233"/>
      <c r="F13" s="176"/>
      <c r="G13" s="176"/>
      <c r="H13" s="7" t="s">
        <v>113</v>
      </c>
      <c r="I13" s="8">
        <v>3</v>
      </c>
      <c r="J13" s="76" t="b">
        <v>0</v>
      </c>
      <c r="K13" s="15"/>
      <c r="L13" s="7"/>
    </row>
    <row r="14" spans="1:12" s="14" customFormat="1" ht="117.75" customHeight="1" x14ac:dyDescent="0.25">
      <c r="A14" s="177"/>
      <c r="B14" s="177"/>
      <c r="C14" s="191"/>
      <c r="D14" s="248"/>
      <c r="E14" s="180"/>
      <c r="F14" s="177"/>
      <c r="G14" s="177"/>
      <c r="H14" s="101" t="s">
        <v>383</v>
      </c>
      <c r="I14" s="11" t="s">
        <v>385</v>
      </c>
      <c r="J14" s="77" t="b">
        <v>0</v>
      </c>
      <c r="K14" s="18"/>
      <c r="L14" s="10"/>
    </row>
    <row r="15" spans="1:12" s="14" customFormat="1" ht="27.75" customHeight="1" x14ac:dyDescent="0.25">
      <c r="A15" s="175" t="s">
        <v>104</v>
      </c>
      <c r="B15" s="175" t="s">
        <v>105</v>
      </c>
      <c r="C15" s="189" t="s">
        <v>114</v>
      </c>
      <c r="D15" s="192" t="s">
        <v>115</v>
      </c>
      <c r="E15" s="178" t="s">
        <v>116</v>
      </c>
      <c r="F15" s="196" t="s">
        <v>93</v>
      </c>
      <c r="G15" s="175" t="s">
        <v>94</v>
      </c>
      <c r="H15" s="100" t="s">
        <v>117</v>
      </c>
      <c r="I15" s="5">
        <v>0</v>
      </c>
      <c r="J15" s="75" t="b">
        <v>0</v>
      </c>
      <c r="K15" s="17"/>
      <c r="L15" s="4"/>
    </row>
    <row r="16" spans="1:12" s="14" customFormat="1" ht="27.75" customHeight="1" x14ac:dyDescent="0.25">
      <c r="A16" s="176"/>
      <c r="B16" s="176"/>
      <c r="C16" s="190"/>
      <c r="D16" s="194"/>
      <c r="E16" s="233"/>
      <c r="F16" s="198"/>
      <c r="G16" s="176"/>
      <c r="H16" s="7" t="s">
        <v>111</v>
      </c>
      <c r="I16" s="8">
        <v>1</v>
      </c>
      <c r="J16" s="76" t="b">
        <v>0</v>
      </c>
      <c r="K16" s="15"/>
      <c r="L16" s="7"/>
    </row>
    <row r="17" spans="1:12" s="14" customFormat="1" ht="117.75" customHeight="1" x14ac:dyDescent="0.25">
      <c r="A17" s="176"/>
      <c r="B17" s="176"/>
      <c r="C17" s="190"/>
      <c r="D17" s="194"/>
      <c r="E17" s="233"/>
      <c r="F17" s="198"/>
      <c r="G17" s="176"/>
      <c r="H17" s="7" t="s">
        <v>112</v>
      </c>
      <c r="I17" s="8">
        <v>2</v>
      </c>
      <c r="J17" s="76" t="b">
        <v>1</v>
      </c>
      <c r="K17" s="15" t="s">
        <v>488</v>
      </c>
      <c r="L17" s="7" t="s">
        <v>482</v>
      </c>
    </row>
    <row r="18" spans="1:12" s="14" customFormat="1" ht="28.5" customHeight="1" x14ac:dyDescent="0.25">
      <c r="A18" s="176"/>
      <c r="B18" s="176"/>
      <c r="C18" s="190"/>
      <c r="D18" s="194"/>
      <c r="E18" s="233"/>
      <c r="F18" s="198"/>
      <c r="G18" s="176"/>
      <c r="H18" s="7" t="s">
        <v>113</v>
      </c>
      <c r="I18" s="8">
        <v>3</v>
      </c>
      <c r="J18" s="78" t="b">
        <v>0</v>
      </c>
      <c r="K18" s="15"/>
      <c r="L18" s="7"/>
    </row>
    <row r="19" spans="1:12" s="14" customFormat="1" ht="102" customHeight="1" x14ac:dyDescent="0.25">
      <c r="A19" s="177"/>
      <c r="B19" s="177"/>
      <c r="C19" s="191"/>
      <c r="D19" s="195"/>
      <c r="E19" s="180"/>
      <c r="F19" s="199"/>
      <c r="G19" s="177"/>
      <c r="H19" s="101" t="s">
        <v>384</v>
      </c>
      <c r="I19" s="11" t="s">
        <v>385</v>
      </c>
      <c r="J19" s="77" t="b">
        <v>0</v>
      </c>
      <c r="K19" s="18"/>
      <c r="L19" s="10"/>
    </row>
    <row r="20" spans="1:12" s="14" customFormat="1" ht="38.25" hidden="1" x14ac:dyDescent="0.25">
      <c r="A20" s="175" t="s">
        <v>104</v>
      </c>
      <c r="B20" s="175" t="s">
        <v>105</v>
      </c>
      <c r="C20" s="189" t="s">
        <v>118</v>
      </c>
      <c r="D20" s="192" t="s">
        <v>462</v>
      </c>
      <c r="E20" s="200" t="s">
        <v>120</v>
      </c>
      <c r="F20" s="196" t="s">
        <v>93</v>
      </c>
      <c r="G20" s="175" t="s">
        <v>94</v>
      </c>
      <c r="H20" s="4" t="s">
        <v>121</v>
      </c>
      <c r="I20" s="5">
        <v>0</v>
      </c>
      <c r="J20" s="75" t="b">
        <v>0</v>
      </c>
      <c r="K20" s="17"/>
      <c r="L20" s="4"/>
    </row>
    <row r="21" spans="1:12" s="14" customFormat="1" ht="38.25" hidden="1" x14ac:dyDescent="0.25">
      <c r="A21" s="176"/>
      <c r="B21" s="176"/>
      <c r="C21" s="190"/>
      <c r="D21" s="194"/>
      <c r="E21" s="202"/>
      <c r="F21" s="198"/>
      <c r="G21" s="176"/>
      <c r="H21" s="7" t="s">
        <v>122</v>
      </c>
      <c r="I21" s="8">
        <v>1</v>
      </c>
      <c r="J21" s="76" t="b">
        <v>0</v>
      </c>
      <c r="K21" s="15"/>
      <c r="L21" s="7"/>
    </row>
    <row r="22" spans="1:12" s="14" customFormat="1" ht="38.25" hidden="1" x14ac:dyDescent="0.25">
      <c r="A22" s="176"/>
      <c r="B22" s="176"/>
      <c r="C22" s="190"/>
      <c r="D22" s="194"/>
      <c r="E22" s="202"/>
      <c r="F22" s="198"/>
      <c r="G22" s="176"/>
      <c r="H22" s="7" t="s">
        <v>123</v>
      </c>
      <c r="I22" s="8">
        <v>2</v>
      </c>
      <c r="J22" s="76" t="b">
        <v>0</v>
      </c>
      <c r="K22" s="15"/>
      <c r="L22" s="7"/>
    </row>
    <row r="23" spans="1:12" s="14" customFormat="1" ht="38.25" hidden="1" x14ac:dyDescent="0.25">
      <c r="A23" s="176"/>
      <c r="B23" s="176"/>
      <c r="C23" s="190"/>
      <c r="D23" s="194"/>
      <c r="E23" s="202"/>
      <c r="F23" s="198"/>
      <c r="G23" s="176"/>
      <c r="H23" s="7" t="s">
        <v>124</v>
      </c>
      <c r="I23" s="8">
        <v>3</v>
      </c>
      <c r="J23" s="76" t="b">
        <v>0</v>
      </c>
      <c r="K23" s="15"/>
      <c r="L23" s="7"/>
    </row>
    <row r="24" spans="1:12" s="14" customFormat="1" ht="25.5" hidden="1" x14ac:dyDescent="0.25">
      <c r="A24" s="177"/>
      <c r="B24" s="177"/>
      <c r="C24" s="191"/>
      <c r="D24" s="195"/>
      <c r="E24" s="203"/>
      <c r="F24" s="199"/>
      <c r="G24" s="177"/>
      <c r="H24" s="10" t="s">
        <v>125</v>
      </c>
      <c r="I24" s="11" t="s">
        <v>385</v>
      </c>
      <c r="J24" s="77" t="b">
        <v>0</v>
      </c>
      <c r="K24" s="18"/>
      <c r="L24" s="10"/>
    </row>
    <row r="25" spans="1:12" s="14" customFormat="1" ht="38.25" x14ac:dyDescent="0.25">
      <c r="A25" s="175" t="s">
        <v>104</v>
      </c>
      <c r="B25" s="175" t="s">
        <v>105</v>
      </c>
      <c r="C25" s="189" t="s">
        <v>126</v>
      </c>
      <c r="D25" s="192" t="s">
        <v>463</v>
      </c>
      <c r="E25" s="200" t="s">
        <v>128</v>
      </c>
      <c r="F25" s="196" t="s">
        <v>93</v>
      </c>
      <c r="G25" s="175" t="s">
        <v>94</v>
      </c>
      <c r="H25" s="4" t="s">
        <v>129</v>
      </c>
      <c r="I25" s="5">
        <v>0</v>
      </c>
      <c r="J25" s="75" t="b">
        <v>0</v>
      </c>
      <c r="K25" s="17"/>
      <c r="L25" s="4"/>
    </row>
    <row r="26" spans="1:12" s="14" customFormat="1" ht="38.25" x14ac:dyDescent="0.25">
      <c r="A26" s="176"/>
      <c r="B26" s="176"/>
      <c r="C26" s="190"/>
      <c r="D26" s="194"/>
      <c r="E26" s="202"/>
      <c r="F26" s="198"/>
      <c r="G26" s="176"/>
      <c r="H26" s="7" t="s">
        <v>122</v>
      </c>
      <c r="I26" s="8">
        <v>1</v>
      </c>
      <c r="J26" s="76" t="b">
        <v>0</v>
      </c>
      <c r="K26" s="15"/>
      <c r="L26" s="15"/>
    </row>
    <row r="27" spans="1:12" s="14" customFormat="1" ht="38.25" x14ac:dyDescent="0.25">
      <c r="A27" s="176"/>
      <c r="B27" s="176"/>
      <c r="C27" s="190"/>
      <c r="D27" s="194"/>
      <c r="E27" s="202"/>
      <c r="F27" s="198"/>
      <c r="G27" s="176"/>
      <c r="H27" s="7" t="s">
        <v>123</v>
      </c>
      <c r="I27" s="8">
        <v>2</v>
      </c>
      <c r="J27" s="76" t="b">
        <v>1</v>
      </c>
      <c r="K27" s="15" t="s">
        <v>9</v>
      </c>
      <c r="L27" s="7" t="s">
        <v>493</v>
      </c>
    </row>
    <row r="28" spans="1:12" s="14" customFormat="1" ht="38.25" x14ac:dyDescent="0.25">
      <c r="A28" s="176"/>
      <c r="B28" s="176"/>
      <c r="C28" s="190"/>
      <c r="D28" s="194"/>
      <c r="E28" s="202"/>
      <c r="F28" s="198"/>
      <c r="G28" s="176"/>
      <c r="H28" s="7" t="s">
        <v>124</v>
      </c>
      <c r="I28" s="8">
        <v>3</v>
      </c>
      <c r="J28" s="76" t="b">
        <v>0</v>
      </c>
      <c r="K28" s="15"/>
      <c r="L28" s="7"/>
    </row>
    <row r="29" spans="1:12" s="14" customFormat="1" ht="25.5" x14ac:dyDescent="0.25">
      <c r="A29" s="177"/>
      <c r="B29" s="177"/>
      <c r="C29" s="191"/>
      <c r="D29" s="195"/>
      <c r="E29" s="203"/>
      <c r="F29" s="199"/>
      <c r="G29" s="177"/>
      <c r="H29" s="10" t="s">
        <v>125</v>
      </c>
      <c r="I29" s="11" t="s">
        <v>385</v>
      </c>
      <c r="J29" s="77" t="b">
        <v>0</v>
      </c>
      <c r="K29" s="18"/>
      <c r="L29" s="10"/>
    </row>
    <row r="30" spans="1:12" s="14" customFormat="1" ht="25.5" x14ac:dyDescent="0.25">
      <c r="A30" s="175" t="s">
        <v>104</v>
      </c>
      <c r="B30" s="175" t="s">
        <v>105</v>
      </c>
      <c r="C30" s="189" t="s">
        <v>130</v>
      </c>
      <c r="D30" s="192" t="s">
        <v>131</v>
      </c>
      <c r="E30" s="200" t="s">
        <v>132</v>
      </c>
      <c r="F30" s="196" t="s">
        <v>93</v>
      </c>
      <c r="G30" s="175" t="s">
        <v>94</v>
      </c>
      <c r="H30" s="4" t="s">
        <v>133</v>
      </c>
      <c r="I30" s="5">
        <v>0</v>
      </c>
      <c r="J30" s="75" t="b">
        <v>0</v>
      </c>
      <c r="K30" s="17"/>
      <c r="L30" s="4"/>
    </row>
    <row r="31" spans="1:12" s="14" customFormat="1" ht="38.25" x14ac:dyDescent="0.25">
      <c r="A31" s="176"/>
      <c r="B31" s="176"/>
      <c r="C31" s="190"/>
      <c r="D31" s="194"/>
      <c r="E31" s="202"/>
      <c r="F31" s="198"/>
      <c r="G31" s="176"/>
      <c r="H31" s="7" t="s">
        <v>134</v>
      </c>
      <c r="I31" s="8">
        <v>1</v>
      </c>
      <c r="J31" s="76" t="b">
        <v>0</v>
      </c>
      <c r="K31" s="15"/>
      <c r="L31" s="7"/>
    </row>
    <row r="32" spans="1:12" s="14" customFormat="1" ht="63.75" x14ac:dyDescent="0.25">
      <c r="A32" s="176"/>
      <c r="B32" s="176"/>
      <c r="C32" s="190"/>
      <c r="D32" s="194"/>
      <c r="E32" s="202"/>
      <c r="F32" s="198"/>
      <c r="G32" s="176"/>
      <c r="H32" s="7" t="s">
        <v>135</v>
      </c>
      <c r="I32" s="8">
        <v>2</v>
      </c>
      <c r="J32" s="78" t="b">
        <v>1</v>
      </c>
      <c r="K32" s="15" t="s">
        <v>9</v>
      </c>
      <c r="L32" s="7" t="s">
        <v>483</v>
      </c>
    </row>
    <row r="33" spans="1:12" s="14" customFormat="1" ht="25.5" x14ac:dyDescent="0.25">
      <c r="A33" s="177"/>
      <c r="B33" s="177"/>
      <c r="C33" s="191"/>
      <c r="D33" s="195"/>
      <c r="E33" s="203"/>
      <c r="F33" s="199"/>
      <c r="G33" s="177"/>
      <c r="H33" s="101" t="s">
        <v>136</v>
      </c>
      <c r="I33" s="16">
        <v>3</v>
      </c>
      <c r="J33" s="79" t="b">
        <v>0</v>
      </c>
      <c r="K33" s="16"/>
      <c r="L33" s="59"/>
    </row>
    <row r="34" spans="1:12" s="14" customFormat="1" x14ac:dyDescent="0.25">
      <c r="A34" s="175" t="s">
        <v>104</v>
      </c>
      <c r="B34" s="175" t="s">
        <v>105</v>
      </c>
      <c r="C34" s="189" t="s">
        <v>137</v>
      </c>
      <c r="D34" s="192" t="s">
        <v>138</v>
      </c>
      <c r="E34" s="200" t="s">
        <v>139</v>
      </c>
      <c r="F34" s="196" t="s">
        <v>93</v>
      </c>
      <c r="G34" s="175" t="s">
        <v>140</v>
      </c>
      <c r="H34" s="4" t="s">
        <v>141</v>
      </c>
      <c r="I34" s="5">
        <v>0</v>
      </c>
      <c r="J34" s="75" t="b">
        <v>0</v>
      </c>
      <c r="K34" s="17"/>
      <c r="L34" s="60"/>
    </row>
    <row r="35" spans="1:12" s="14" customFormat="1" ht="76.5" x14ac:dyDescent="0.25">
      <c r="A35" s="176"/>
      <c r="B35" s="176"/>
      <c r="C35" s="190"/>
      <c r="D35" s="194"/>
      <c r="E35" s="202"/>
      <c r="F35" s="198"/>
      <c r="G35" s="176"/>
      <c r="H35" s="7" t="s">
        <v>142</v>
      </c>
      <c r="I35" s="8">
        <v>1</v>
      </c>
      <c r="J35" s="76" t="b">
        <v>1</v>
      </c>
      <c r="K35" s="15" t="s">
        <v>288</v>
      </c>
      <c r="L35" s="61" t="s">
        <v>484</v>
      </c>
    </row>
    <row r="36" spans="1:12" s="14" customFormat="1" ht="25.5" x14ac:dyDescent="0.25">
      <c r="A36" s="176"/>
      <c r="B36" s="176"/>
      <c r="C36" s="190"/>
      <c r="D36" s="194"/>
      <c r="E36" s="202"/>
      <c r="F36" s="198"/>
      <c r="G36" s="176"/>
      <c r="H36" s="7" t="s">
        <v>143</v>
      </c>
      <c r="I36" s="8">
        <v>2</v>
      </c>
      <c r="J36" s="76" t="b">
        <v>0</v>
      </c>
      <c r="K36" s="62"/>
      <c r="L36" s="61"/>
    </row>
    <row r="37" spans="1:12" s="14" customFormat="1" x14ac:dyDescent="0.25">
      <c r="A37" s="177"/>
      <c r="B37" s="177"/>
      <c r="C37" s="191"/>
      <c r="D37" s="195"/>
      <c r="E37" s="203"/>
      <c r="F37" s="199"/>
      <c r="G37" s="177"/>
      <c r="H37" s="10" t="s">
        <v>144</v>
      </c>
      <c r="I37" s="11">
        <v>3</v>
      </c>
      <c r="J37" s="77" t="b">
        <v>0</v>
      </c>
      <c r="K37" s="18"/>
      <c r="L37" s="61"/>
    </row>
    <row r="38" spans="1:12" s="29" customFormat="1" ht="25.5" x14ac:dyDescent="0.25">
      <c r="A38" s="175" t="s">
        <v>104</v>
      </c>
      <c r="B38" s="175" t="s">
        <v>145</v>
      </c>
      <c r="C38" s="189" t="s">
        <v>146</v>
      </c>
      <c r="D38" s="192" t="s">
        <v>147</v>
      </c>
      <c r="E38" s="200" t="s">
        <v>148</v>
      </c>
      <c r="F38" s="249" t="s">
        <v>93</v>
      </c>
      <c r="G38" s="175" t="s">
        <v>94</v>
      </c>
      <c r="H38" s="100" t="s">
        <v>393</v>
      </c>
      <c r="I38" s="5">
        <v>0</v>
      </c>
      <c r="J38" s="75" t="b">
        <v>0</v>
      </c>
      <c r="K38" s="17"/>
      <c r="L38" s="4"/>
    </row>
    <row r="39" spans="1:12" s="29" customFormat="1" ht="51" x14ac:dyDescent="0.25">
      <c r="A39" s="176"/>
      <c r="B39" s="176"/>
      <c r="C39" s="190"/>
      <c r="D39" s="194"/>
      <c r="E39" s="202"/>
      <c r="F39" s="250"/>
      <c r="G39" s="176"/>
      <c r="H39" s="7" t="s">
        <v>149</v>
      </c>
      <c r="I39" s="8">
        <v>1</v>
      </c>
      <c r="J39" s="76" t="b">
        <v>0</v>
      </c>
      <c r="K39" s="15"/>
      <c r="L39" s="7"/>
    </row>
    <row r="40" spans="1:12" s="29" customFormat="1" ht="25.5" x14ac:dyDescent="0.25">
      <c r="A40" s="176"/>
      <c r="B40" s="176"/>
      <c r="C40" s="190"/>
      <c r="D40" s="194"/>
      <c r="E40" s="202"/>
      <c r="F40" s="250"/>
      <c r="G40" s="176"/>
      <c r="H40" s="7" t="s">
        <v>150</v>
      </c>
      <c r="I40" s="8">
        <v>1</v>
      </c>
      <c r="J40" s="76" t="b">
        <v>0</v>
      </c>
      <c r="K40" s="15"/>
      <c r="L40" s="7"/>
    </row>
    <row r="41" spans="1:12" s="29" customFormat="1" ht="76.5" x14ac:dyDescent="0.25">
      <c r="A41" s="176"/>
      <c r="B41" s="176"/>
      <c r="C41" s="190"/>
      <c r="D41" s="194"/>
      <c r="E41" s="202"/>
      <c r="F41" s="250"/>
      <c r="G41" s="176"/>
      <c r="H41" s="7" t="s">
        <v>151</v>
      </c>
      <c r="I41" s="8">
        <v>2</v>
      </c>
      <c r="J41" s="76" t="b">
        <v>1</v>
      </c>
      <c r="K41" s="15" t="s">
        <v>9</v>
      </c>
      <c r="L41" s="7" t="s">
        <v>485</v>
      </c>
    </row>
    <row r="42" spans="1:12" s="29" customFormat="1" ht="25.5" x14ac:dyDescent="0.25">
      <c r="A42" s="177"/>
      <c r="B42" s="177"/>
      <c r="C42" s="191"/>
      <c r="D42" s="195"/>
      <c r="E42" s="203"/>
      <c r="F42" s="251"/>
      <c r="G42" s="177"/>
      <c r="H42" s="10" t="s">
        <v>152</v>
      </c>
      <c r="I42" s="11">
        <v>3</v>
      </c>
      <c r="J42" s="80" t="b">
        <v>0</v>
      </c>
      <c r="K42" s="18"/>
      <c r="L42" s="10"/>
    </row>
    <row r="43" spans="1:12" s="29" customFormat="1" ht="25.5" x14ac:dyDescent="0.25">
      <c r="A43" s="175" t="s">
        <v>104</v>
      </c>
      <c r="B43" s="175" t="s">
        <v>145</v>
      </c>
      <c r="C43" s="189" t="s">
        <v>153</v>
      </c>
      <c r="D43" s="192" t="s">
        <v>154</v>
      </c>
      <c r="E43" s="200" t="s">
        <v>155</v>
      </c>
      <c r="F43" s="196" t="s">
        <v>93</v>
      </c>
      <c r="G43" s="175" t="s">
        <v>94</v>
      </c>
      <c r="H43" s="4" t="s">
        <v>156</v>
      </c>
      <c r="I43" s="5">
        <v>0</v>
      </c>
      <c r="J43" s="81" t="b">
        <v>0</v>
      </c>
      <c r="K43" s="17"/>
      <c r="L43" s="4"/>
    </row>
    <row r="44" spans="1:12" s="29" customFormat="1" ht="51" x14ac:dyDescent="0.25">
      <c r="A44" s="176"/>
      <c r="B44" s="176"/>
      <c r="C44" s="190"/>
      <c r="D44" s="194"/>
      <c r="E44" s="202"/>
      <c r="F44" s="198"/>
      <c r="G44" s="176"/>
      <c r="H44" s="7" t="s">
        <v>157</v>
      </c>
      <c r="I44" s="8">
        <v>1</v>
      </c>
      <c r="J44" s="76" t="b">
        <v>0</v>
      </c>
      <c r="K44" s="15"/>
      <c r="L44" s="7"/>
    </row>
    <row r="45" spans="1:12" s="29" customFormat="1" ht="38.25" x14ac:dyDescent="0.25">
      <c r="A45" s="176"/>
      <c r="B45" s="176"/>
      <c r="C45" s="190"/>
      <c r="D45" s="194"/>
      <c r="E45" s="202"/>
      <c r="F45" s="198"/>
      <c r="G45" s="176"/>
      <c r="H45" s="7" t="s">
        <v>158</v>
      </c>
      <c r="I45" s="8">
        <v>2</v>
      </c>
      <c r="J45" s="76" t="b">
        <v>1</v>
      </c>
      <c r="K45" s="15" t="s">
        <v>9</v>
      </c>
      <c r="L45" s="7" t="s">
        <v>486</v>
      </c>
    </row>
    <row r="46" spans="1:12" s="29" customFormat="1" ht="38.25" x14ac:dyDescent="0.25">
      <c r="A46" s="177"/>
      <c r="B46" s="177"/>
      <c r="C46" s="191"/>
      <c r="D46" s="195"/>
      <c r="E46" s="203"/>
      <c r="F46" s="199"/>
      <c r="G46" s="177"/>
      <c r="H46" s="10" t="s">
        <v>159</v>
      </c>
      <c r="I46" s="11">
        <v>3</v>
      </c>
      <c r="J46" s="77" t="b">
        <v>0</v>
      </c>
      <c r="K46" s="18"/>
      <c r="L46" s="10"/>
    </row>
    <row r="47" spans="1:12" s="29" customFormat="1" ht="25.5" customHeight="1" x14ac:dyDescent="0.25">
      <c r="A47" s="175" t="s">
        <v>104</v>
      </c>
      <c r="B47" s="175" t="s">
        <v>145</v>
      </c>
      <c r="C47" s="189" t="s">
        <v>160</v>
      </c>
      <c r="D47" s="247" t="s">
        <v>161</v>
      </c>
      <c r="E47" s="178" t="s">
        <v>162</v>
      </c>
      <c r="F47" s="175" t="s">
        <v>163</v>
      </c>
      <c r="G47" s="175" t="s">
        <v>94</v>
      </c>
      <c r="H47" s="178" t="s">
        <v>164</v>
      </c>
      <c r="I47" s="32" t="s">
        <v>103</v>
      </c>
      <c r="J47" s="82" t="s">
        <v>24</v>
      </c>
      <c r="K47" s="32" t="s">
        <v>9</v>
      </c>
      <c r="L47" s="34" t="s">
        <v>487</v>
      </c>
    </row>
    <row r="48" spans="1:12" s="29" customFormat="1" ht="25.5" x14ac:dyDescent="0.25">
      <c r="A48" s="176"/>
      <c r="B48" s="176"/>
      <c r="C48" s="190"/>
      <c r="D48" s="231"/>
      <c r="E48" s="233"/>
      <c r="F48" s="176"/>
      <c r="G48" s="176"/>
      <c r="H48" s="179"/>
      <c r="I48" s="40" t="s">
        <v>103</v>
      </c>
      <c r="J48" s="83" t="s">
        <v>47</v>
      </c>
      <c r="K48" s="40" t="s">
        <v>9</v>
      </c>
      <c r="L48" s="37" t="s">
        <v>489</v>
      </c>
    </row>
    <row r="49" spans="1:12" s="29" customFormat="1" x14ac:dyDescent="0.25">
      <c r="A49" s="176"/>
      <c r="B49" s="176"/>
      <c r="C49" s="190"/>
      <c r="D49" s="231"/>
      <c r="E49" s="233"/>
      <c r="F49" s="176"/>
      <c r="G49" s="176"/>
      <c r="H49" s="179"/>
      <c r="I49" s="40" t="s">
        <v>103</v>
      </c>
      <c r="J49" s="83" t="s">
        <v>38</v>
      </c>
      <c r="K49" s="40" t="s">
        <v>9</v>
      </c>
      <c r="L49" s="37" t="s">
        <v>490</v>
      </c>
    </row>
    <row r="50" spans="1:12" s="29" customFormat="1" ht="25.5" x14ac:dyDescent="0.25">
      <c r="A50" s="176"/>
      <c r="B50" s="176"/>
      <c r="C50" s="190"/>
      <c r="D50" s="231"/>
      <c r="E50" s="233"/>
      <c r="F50" s="176"/>
      <c r="G50" s="176"/>
      <c r="H50" s="179"/>
      <c r="I50" s="40" t="s">
        <v>103</v>
      </c>
      <c r="J50" s="83" t="s">
        <v>42</v>
      </c>
      <c r="K50" s="40" t="s">
        <v>9</v>
      </c>
      <c r="L50" s="37" t="s">
        <v>491</v>
      </c>
    </row>
    <row r="51" spans="1:12" s="29" customFormat="1" ht="90" customHeight="1" x14ac:dyDescent="0.25">
      <c r="A51" s="177"/>
      <c r="B51" s="177"/>
      <c r="C51" s="191"/>
      <c r="D51" s="248"/>
      <c r="E51" s="180"/>
      <c r="F51" s="177"/>
      <c r="G51" s="177"/>
      <c r="H51" s="180"/>
      <c r="I51" s="32" t="s">
        <v>103</v>
      </c>
      <c r="J51" s="82" t="s">
        <v>28</v>
      </c>
      <c r="K51" s="32" t="s">
        <v>9</v>
      </c>
      <c r="L51" s="34" t="s">
        <v>492</v>
      </c>
    </row>
    <row r="52" spans="1:12" s="29" customFormat="1" ht="38.25" x14ac:dyDescent="0.25">
      <c r="A52" s="175" t="s">
        <v>104</v>
      </c>
      <c r="B52" s="175" t="s">
        <v>145</v>
      </c>
      <c r="C52" s="189">
        <v>4</v>
      </c>
      <c r="D52" s="192" t="s">
        <v>165</v>
      </c>
      <c r="E52" s="200" t="s">
        <v>166</v>
      </c>
      <c r="F52" s="196" t="s">
        <v>93</v>
      </c>
      <c r="G52" s="175" t="s">
        <v>94</v>
      </c>
      <c r="H52" s="46" t="s">
        <v>167</v>
      </c>
      <c r="I52" s="5">
        <v>0</v>
      </c>
      <c r="J52" s="81" t="b">
        <v>1</v>
      </c>
      <c r="K52" s="17" t="s">
        <v>9</v>
      </c>
      <c r="L52" s="4" t="s">
        <v>494</v>
      </c>
    </row>
    <row r="53" spans="1:12" s="29" customFormat="1" ht="25.5" x14ac:dyDescent="0.25">
      <c r="A53" s="176"/>
      <c r="B53" s="176"/>
      <c r="C53" s="190"/>
      <c r="D53" s="231"/>
      <c r="E53" s="233"/>
      <c r="F53" s="176"/>
      <c r="G53" s="176"/>
      <c r="H53" s="7" t="s">
        <v>168</v>
      </c>
      <c r="I53" s="31">
        <v>2</v>
      </c>
      <c r="J53" s="84" t="b">
        <v>0</v>
      </c>
      <c r="K53" s="32"/>
      <c r="L53" s="34"/>
    </row>
    <row r="54" spans="1:12" s="29" customFormat="1" ht="51" x14ac:dyDescent="0.25">
      <c r="A54" s="177"/>
      <c r="B54" s="177"/>
      <c r="C54" s="191"/>
      <c r="D54" s="195"/>
      <c r="E54" s="203"/>
      <c r="F54" s="199"/>
      <c r="G54" s="177"/>
      <c r="H54" s="10" t="s">
        <v>169</v>
      </c>
      <c r="I54" s="11">
        <v>3</v>
      </c>
      <c r="J54" s="80" t="b">
        <v>0</v>
      </c>
      <c r="K54" s="18"/>
      <c r="L54" s="10"/>
    </row>
    <row r="55" spans="1:12" ht="25.5" x14ac:dyDescent="0.25">
      <c r="A55" s="175" t="s">
        <v>104</v>
      </c>
      <c r="B55" s="175" t="s">
        <v>170</v>
      </c>
      <c r="C55" s="189" t="s">
        <v>171</v>
      </c>
      <c r="D55" s="192" t="s">
        <v>172</v>
      </c>
      <c r="E55" s="200" t="s">
        <v>173</v>
      </c>
      <c r="F55" s="196" t="s">
        <v>174</v>
      </c>
      <c r="G55" s="175" t="s">
        <v>94</v>
      </c>
      <c r="H55" s="100" t="s">
        <v>175</v>
      </c>
      <c r="I55" s="5">
        <v>0</v>
      </c>
      <c r="J55" s="75" t="b">
        <v>0</v>
      </c>
      <c r="K55" s="17"/>
      <c r="L55" s="4"/>
    </row>
    <row r="56" spans="1:12" ht="51" x14ac:dyDescent="0.25">
      <c r="A56" s="176"/>
      <c r="B56" s="176"/>
      <c r="C56" s="190"/>
      <c r="D56" s="194"/>
      <c r="E56" s="202"/>
      <c r="F56" s="198"/>
      <c r="G56" s="176"/>
      <c r="H56" s="102" t="s">
        <v>176</v>
      </c>
      <c r="I56" s="8">
        <v>1</v>
      </c>
      <c r="J56" s="76" t="b">
        <v>0</v>
      </c>
      <c r="K56" s="15"/>
      <c r="L56" s="7"/>
    </row>
    <row r="57" spans="1:12" ht="25.5" x14ac:dyDescent="0.25">
      <c r="A57" s="176"/>
      <c r="B57" s="176"/>
      <c r="C57" s="190"/>
      <c r="D57" s="194"/>
      <c r="E57" s="202"/>
      <c r="F57" s="198"/>
      <c r="G57" s="176"/>
      <c r="H57" s="7" t="s">
        <v>177</v>
      </c>
      <c r="I57" s="8">
        <v>1</v>
      </c>
      <c r="J57" s="76" t="b">
        <v>0</v>
      </c>
      <c r="K57" s="15"/>
      <c r="L57" s="7"/>
    </row>
    <row r="58" spans="1:12" ht="51" x14ac:dyDescent="0.25">
      <c r="A58" s="176"/>
      <c r="B58" s="176"/>
      <c r="C58" s="190"/>
      <c r="D58" s="194"/>
      <c r="E58" s="202"/>
      <c r="F58" s="198"/>
      <c r="G58" s="176"/>
      <c r="H58" s="7" t="s">
        <v>178</v>
      </c>
      <c r="I58" s="8">
        <v>2</v>
      </c>
      <c r="J58" s="78" t="b">
        <v>1</v>
      </c>
      <c r="K58" s="15" t="s">
        <v>9</v>
      </c>
      <c r="L58" s="7" t="s">
        <v>495</v>
      </c>
    </row>
    <row r="59" spans="1:12" ht="25.5" x14ac:dyDescent="0.25">
      <c r="A59" s="177"/>
      <c r="B59" s="177"/>
      <c r="C59" s="191"/>
      <c r="D59" s="195"/>
      <c r="E59" s="203"/>
      <c r="F59" s="199"/>
      <c r="G59" s="177"/>
      <c r="H59" s="10" t="s">
        <v>179</v>
      </c>
      <c r="I59" s="11">
        <v>3</v>
      </c>
      <c r="J59" s="77" t="b">
        <v>0</v>
      </c>
      <c r="K59" s="18"/>
      <c r="L59" s="10"/>
    </row>
    <row r="60" spans="1:12" ht="26.25" customHeight="1" x14ac:dyDescent="0.25">
      <c r="A60" s="175" t="s">
        <v>104</v>
      </c>
      <c r="B60" s="175" t="s">
        <v>170</v>
      </c>
      <c r="C60" s="189" t="s">
        <v>180</v>
      </c>
      <c r="D60" s="192" t="s">
        <v>181</v>
      </c>
      <c r="E60" s="200" t="s">
        <v>182</v>
      </c>
      <c r="F60" s="196" t="s">
        <v>93</v>
      </c>
      <c r="G60" s="175" t="s">
        <v>94</v>
      </c>
      <c r="H60" s="4" t="s">
        <v>183</v>
      </c>
      <c r="I60" s="5">
        <v>0</v>
      </c>
      <c r="J60" s="75" t="b">
        <v>0</v>
      </c>
      <c r="K60" s="17"/>
      <c r="L60" s="4"/>
    </row>
    <row r="61" spans="1:12" ht="76.5" customHeight="1" x14ac:dyDescent="0.25">
      <c r="A61" s="176"/>
      <c r="B61" s="176"/>
      <c r="C61" s="190"/>
      <c r="D61" s="194"/>
      <c r="E61" s="202"/>
      <c r="F61" s="198"/>
      <c r="G61" s="176"/>
      <c r="H61" s="7" t="s">
        <v>184</v>
      </c>
      <c r="I61" s="8">
        <v>1</v>
      </c>
      <c r="J61" s="78" t="b">
        <v>0</v>
      </c>
      <c r="K61" s="15"/>
      <c r="L61" s="7"/>
    </row>
    <row r="62" spans="1:12" ht="76.5" x14ac:dyDescent="0.25">
      <c r="A62" s="176"/>
      <c r="B62" s="176"/>
      <c r="C62" s="190"/>
      <c r="D62" s="194"/>
      <c r="E62" s="202"/>
      <c r="F62" s="198"/>
      <c r="G62" s="176"/>
      <c r="H62" s="7" t="s">
        <v>185</v>
      </c>
      <c r="I62" s="8">
        <v>2</v>
      </c>
      <c r="J62" s="76" t="b">
        <v>1</v>
      </c>
      <c r="K62" s="15" t="s">
        <v>9</v>
      </c>
      <c r="L62" s="7" t="s">
        <v>496</v>
      </c>
    </row>
    <row r="63" spans="1:12" ht="51" customHeight="1" x14ac:dyDescent="0.25">
      <c r="A63" s="177"/>
      <c r="B63" s="177"/>
      <c r="C63" s="191"/>
      <c r="D63" s="195"/>
      <c r="E63" s="203"/>
      <c r="F63" s="199"/>
      <c r="G63" s="177"/>
      <c r="H63" s="10" t="s">
        <v>186</v>
      </c>
      <c r="I63" s="11">
        <v>3</v>
      </c>
      <c r="J63" s="80" t="b">
        <v>0</v>
      </c>
      <c r="K63" s="18"/>
      <c r="L63" s="174"/>
    </row>
    <row r="64" spans="1:12" ht="25.5" x14ac:dyDescent="0.25">
      <c r="A64" s="175" t="s">
        <v>104</v>
      </c>
      <c r="B64" s="175" t="s">
        <v>170</v>
      </c>
      <c r="C64" s="189" t="s">
        <v>187</v>
      </c>
      <c r="D64" s="192" t="s">
        <v>188</v>
      </c>
      <c r="E64" s="200" t="s">
        <v>189</v>
      </c>
      <c r="F64" s="196" t="s">
        <v>174</v>
      </c>
      <c r="G64" s="175" t="s">
        <v>94</v>
      </c>
      <c r="H64" s="4" t="s">
        <v>190</v>
      </c>
      <c r="I64" s="5" t="s">
        <v>385</v>
      </c>
      <c r="J64" s="81" t="b">
        <v>0</v>
      </c>
      <c r="K64" s="17"/>
      <c r="L64" s="4"/>
    </row>
    <row r="65" spans="1:12" x14ac:dyDescent="0.25">
      <c r="A65" s="176"/>
      <c r="B65" s="176"/>
      <c r="C65" s="190"/>
      <c r="D65" s="194"/>
      <c r="E65" s="202"/>
      <c r="F65" s="198"/>
      <c r="G65" s="176"/>
      <c r="H65" s="7" t="s">
        <v>191</v>
      </c>
      <c r="I65" s="8">
        <v>0</v>
      </c>
      <c r="J65" s="76" t="b">
        <v>0</v>
      </c>
      <c r="K65" s="15"/>
      <c r="L65" s="7"/>
    </row>
    <row r="66" spans="1:12" ht="67.5" customHeight="1" x14ac:dyDescent="0.25">
      <c r="A66" s="177"/>
      <c r="B66" s="177"/>
      <c r="C66" s="191"/>
      <c r="D66" s="195"/>
      <c r="E66" s="203"/>
      <c r="F66" s="199"/>
      <c r="G66" s="177"/>
      <c r="H66" s="10" t="s">
        <v>192</v>
      </c>
      <c r="I66" s="11">
        <v>3</v>
      </c>
      <c r="J66" s="77" t="b">
        <v>1</v>
      </c>
      <c r="K66" s="18" t="s">
        <v>9</v>
      </c>
      <c r="L66" s="10" t="s">
        <v>497</v>
      </c>
    </row>
    <row r="67" spans="1:12" ht="25.5" x14ac:dyDescent="0.25">
      <c r="A67" s="175" t="s">
        <v>104</v>
      </c>
      <c r="B67" s="175" t="s">
        <v>170</v>
      </c>
      <c r="C67" s="189" t="s">
        <v>193</v>
      </c>
      <c r="D67" s="192" t="s">
        <v>194</v>
      </c>
      <c r="E67" s="200" t="s">
        <v>195</v>
      </c>
      <c r="F67" s="196" t="s">
        <v>174</v>
      </c>
      <c r="G67" s="175" t="s">
        <v>94</v>
      </c>
      <c r="H67" s="4" t="s">
        <v>464</v>
      </c>
      <c r="I67" s="5" t="s">
        <v>385</v>
      </c>
      <c r="J67" s="81" t="b">
        <v>0</v>
      </c>
      <c r="K67" s="17"/>
      <c r="L67" s="4"/>
    </row>
    <row r="68" spans="1:12" x14ac:dyDescent="0.25">
      <c r="A68" s="176"/>
      <c r="B68" s="176"/>
      <c r="C68" s="190"/>
      <c r="D68" s="194"/>
      <c r="E68" s="202"/>
      <c r="F68" s="198"/>
      <c r="G68" s="176"/>
      <c r="H68" s="7" t="s">
        <v>191</v>
      </c>
      <c r="I68" s="8">
        <v>1</v>
      </c>
      <c r="J68" s="78" t="b">
        <v>0</v>
      </c>
      <c r="K68" s="15"/>
      <c r="L68" s="7"/>
    </row>
    <row r="69" spans="1:12" ht="39" customHeight="1" x14ac:dyDescent="0.25">
      <c r="A69" s="177"/>
      <c r="B69" s="177"/>
      <c r="C69" s="191"/>
      <c r="D69" s="195"/>
      <c r="E69" s="203"/>
      <c r="F69" s="199"/>
      <c r="G69" s="177"/>
      <c r="H69" s="10" t="s">
        <v>192</v>
      </c>
      <c r="I69" s="11">
        <v>3</v>
      </c>
      <c r="J69" s="80" t="b">
        <v>1</v>
      </c>
      <c r="K69" s="18" t="s">
        <v>548</v>
      </c>
      <c r="L69" s="10" t="s">
        <v>549</v>
      </c>
    </row>
    <row r="70" spans="1:12" ht="38.25" x14ac:dyDescent="0.25">
      <c r="A70" s="210" t="s">
        <v>104</v>
      </c>
      <c r="B70" s="210" t="s">
        <v>196</v>
      </c>
      <c r="C70" s="187" t="s">
        <v>197</v>
      </c>
      <c r="D70" s="192" t="s">
        <v>198</v>
      </c>
      <c r="E70" s="228" t="s">
        <v>199</v>
      </c>
      <c r="F70" s="196" t="s">
        <v>174</v>
      </c>
      <c r="G70" s="181" t="s">
        <v>94</v>
      </c>
      <c r="H70" s="4" t="s">
        <v>200</v>
      </c>
      <c r="I70" s="5" t="s">
        <v>103</v>
      </c>
      <c r="J70" s="81" t="b">
        <v>1</v>
      </c>
      <c r="K70" s="21" t="s">
        <v>488</v>
      </c>
      <c r="L70" s="19" t="s">
        <v>498</v>
      </c>
    </row>
    <row r="71" spans="1:12" ht="238.5" customHeight="1" x14ac:dyDescent="0.25">
      <c r="A71" s="212"/>
      <c r="B71" s="212"/>
      <c r="C71" s="188"/>
      <c r="D71" s="195"/>
      <c r="E71" s="230"/>
      <c r="F71" s="199"/>
      <c r="G71" s="183"/>
      <c r="H71" s="101" t="s">
        <v>201</v>
      </c>
      <c r="I71" s="11" t="s">
        <v>103</v>
      </c>
      <c r="J71" s="85" t="b">
        <v>0</v>
      </c>
      <c r="K71" s="16"/>
      <c r="L71" s="20"/>
    </row>
    <row r="72" spans="1:12" x14ac:dyDescent="0.25">
      <c r="A72" s="175" t="s">
        <v>104</v>
      </c>
      <c r="B72" s="175" t="s">
        <v>196</v>
      </c>
      <c r="C72" s="189" t="s">
        <v>202</v>
      </c>
      <c r="D72" s="192" t="s">
        <v>203</v>
      </c>
      <c r="E72" s="200" t="s">
        <v>204</v>
      </c>
      <c r="F72" s="196" t="s">
        <v>93</v>
      </c>
      <c r="G72" s="175" t="s">
        <v>94</v>
      </c>
      <c r="H72" s="100" t="s">
        <v>205</v>
      </c>
      <c r="I72" s="5">
        <v>0</v>
      </c>
      <c r="J72" s="86" t="b">
        <v>0</v>
      </c>
      <c r="K72" s="17"/>
      <c r="L72" s="4"/>
    </row>
    <row r="73" spans="1:12" ht="41.25" customHeight="1" x14ac:dyDescent="0.25">
      <c r="A73" s="176"/>
      <c r="B73" s="176"/>
      <c r="C73" s="190"/>
      <c r="D73" s="194"/>
      <c r="E73" s="202"/>
      <c r="F73" s="198"/>
      <c r="G73" s="176"/>
      <c r="H73" s="7" t="s">
        <v>206</v>
      </c>
      <c r="I73" s="8">
        <v>1</v>
      </c>
      <c r="J73" s="76" t="b">
        <v>0</v>
      </c>
      <c r="K73" s="15"/>
      <c r="L73" s="7"/>
    </row>
    <row r="74" spans="1:12" ht="46.5" customHeight="1" x14ac:dyDescent="0.25">
      <c r="A74" s="176"/>
      <c r="B74" s="176"/>
      <c r="C74" s="190"/>
      <c r="D74" s="194"/>
      <c r="E74" s="202"/>
      <c r="F74" s="198"/>
      <c r="G74" s="176"/>
      <c r="H74" s="7" t="s">
        <v>207</v>
      </c>
      <c r="I74" s="8">
        <v>2</v>
      </c>
      <c r="J74" s="78" t="b">
        <v>1</v>
      </c>
      <c r="K74" s="15" t="s">
        <v>9</v>
      </c>
      <c r="L74" s="7" t="s">
        <v>499</v>
      </c>
    </row>
    <row r="75" spans="1:12" ht="49.5" customHeight="1" x14ac:dyDescent="0.25">
      <c r="A75" s="177"/>
      <c r="B75" s="177"/>
      <c r="C75" s="191"/>
      <c r="D75" s="195"/>
      <c r="E75" s="203"/>
      <c r="F75" s="199"/>
      <c r="G75" s="177"/>
      <c r="H75" s="10" t="s">
        <v>208</v>
      </c>
      <c r="I75" s="11">
        <v>3</v>
      </c>
      <c r="J75" s="77" t="b">
        <v>0</v>
      </c>
      <c r="K75" s="18"/>
      <c r="L75" s="10"/>
    </row>
    <row r="76" spans="1:12" ht="21" customHeight="1" x14ac:dyDescent="0.25">
      <c r="A76" s="175" t="s">
        <v>104</v>
      </c>
      <c r="B76" s="175" t="s">
        <v>196</v>
      </c>
      <c r="C76" s="189" t="s">
        <v>209</v>
      </c>
      <c r="D76" s="192" t="s">
        <v>210</v>
      </c>
      <c r="E76" s="200" t="s">
        <v>211</v>
      </c>
      <c r="F76" s="196" t="s">
        <v>174</v>
      </c>
      <c r="G76" s="175" t="s">
        <v>94</v>
      </c>
      <c r="H76" s="4" t="s">
        <v>212</v>
      </c>
      <c r="I76" s="5" t="s">
        <v>385</v>
      </c>
      <c r="J76" s="75" t="b">
        <v>0</v>
      </c>
      <c r="K76" s="17"/>
      <c r="L76" s="4"/>
    </row>
    <row r="77" spans="1:12" ht="42" customHeight="1" x14ac:dyDescent="0.25">
      <c r="A77" s="176"/>
      <c r="B77" s="176"/>
      <c r="C77" s="190"/>
      <c r="D77" s="194"/>
      <c r="E77" s="202"/>
      <c r="F77" s="198"/>
      <c r="G77" s="176"/>
      <c r="H77" s="7" t="s">
        <v>213</v>
      </c>
      <c r="I77" s="8">
        <v>0</v>
      </c>
      <c r="J77" s="76" t="b">
        <v>0</v>
      </c>
      <c r="K77" s="15"/>
      <c r="L77" s="7"/>
    </row>
    <row r="78" spans="1:12" ht="38.25" customHeight="1" x14ac:dyDescent="0.25">
      <c r="A78" s="176"/>
      <c r="B78" s="176"/>
      <c r="C78" s="190"/>
      <c r="D78" s="194"/>
      <c r="E78" s="202"/>
      <c r="F78" s="198"/>
      <c r="G78" s="176"/>
      <c r="H78" s="7" t="s">
        <v>214</v>
      </c>
      <c r="I78" s="8">
        <v>0</v>
      </c>
      <c r="J78" s="78" t="b">
        <v>0</v>
      </c>
      <c r="K78" s="15"/>
      <c r="L78" s="7"/>
    </row>
    <row r="79" spans="1:12" ht="144.94999999999999" customHeight="1" x14ac:dyDescent="0.25">
      <c r="A79" s="177"/>
      <c r="B79" s="177"/>
      <c r="C79" s="191"/>
      <c r="D79" s="195"/>
      <c r="E79" s="203"/>
      <c r="F79" s="199"/>
      <c r="G79" s="177"/>
      <c r="H79" s="10" t="s">
        <v>192</v>
      </c>
      <c r="I79" s="11">
        <v>3</v>
      </c>
      <c r="J79" s="80" t="b">
        <v>1</v>
      </c>
      <c r="K79" s="18" t="s">
        <v>9</v>
      </c>
      <c r="L79" s="10" t="s">
        <v>500</v>
      </c>
    </row>
    <row r="80" spans="1:12" ht="38.25" x14ac:dyDescent="0.25">
      <c r="A80" s="181" t="s">
        <v>104</v>
      </c>
      <c r="B80" s="181" t="s">
        <v>196</v>
      </c>
      <c r="C80" s="204" t="s">
        <v>215</v>
      </c>
      <c r="D80" s="225" t="s">
        <v>216</v>
      </c>
      <c r="E80" s="228" t="s">
        <v>217</v>
      </c>
      <c r="F80" s="196" t="s">
        <v>93</v>
      </c>
      <c r="G80" s="181" t="s">
        <v>94</v>
      </c>
      <c r="H80" s="4" t="s">
        <v>218</v>
      </c>
      <c r="I80" s="21">
        <v>0</v>
      </c>
      <c r="J80" s="87" t="b">
        <v>0</v>
      </c>
      <c r="K80" s="21"/>
      <c r="L80" s="19"/>
    </row>
    <row r="81" spans="1:12" ht="25.5" x14ac:dyDescent="0.25">
      <c r="A81" s="182"/>
      <c r="B81" s="182"/>
      <c r="C81" s="205"/>
      <c r="D81" s="226"/>
      <c r="E81" s="229"/>
      <c r="F81" s="198"/>
      <c r="G81" s="182"/>
      <c r="H81" s="7" t="s">
        <v>219</v>
      </c>
      <c r="I81" s="23">
        <v>1</v>
      </c>
      <c r="J81" s="88" t="b">
        <v>0</v>
      </c>
      <c r="K81" s="23"/>
      <c r="L81" s="22"/>
    </row>
    <row r="82" spans="1:12" ht="25.5" x14ac:dyDescent="0.25">
      <c r="A82" s="182"/>
      <c r="B82" s="182"/>
      <c r="C82" s="205"/>
      <c r="D82" s="226"/>
      <c r="E82" s="229"/>
      <c r="F82" s="198"/>
      <c r="G82" s="182"/>
      <c r="H82" s="7" t="s">
        <v>220</v>
      </c>
      <c r="I82" s="23">
        <v>2</v>
      </c>
      <c r="J82" s="89" t="b">
        <v>0</v>
      </c>
      <c r="K82" s="23"/>
      <c r="L82" s="22"/>
    </row>
    <row r="83" spans="1:12" ht="30" customHeight="1" x14ac:dyDescent="0.25">
      <c r="A83" s="183"/>
      <c r="B83" s="183"/>
      <c r="C83" s="206"/>
      <c r="D83" s="227"/>
      <c r="E83" s="230"/>
      <c r="F83" s="199"/>
      <c r="G83" s="183"/>
      <c r="H83" s="10" t="s">
        <v>221</v>
      </c>
      <c r="I83" s="16">
        <v>3</v>
      </c>
      <c r="J83" s="85" t="b">
        <v>1</v>
      </c>
      <c r="K83" s="16" t="s">
        <v>9</v>
      </c>
      <c r="L83" s="20" t="s">
        <v>501</v>
      </c>
    </row>
    <row r="84" spans="1:12" ht="64.5" customHeight="1" x14ac:dyDescent="0.25">
      <c r="A84" s="175" t="s">
        <v>222</v>
      </c>
      <c r="B84" s="175" t="s">
        <v>223</v>
      </c>
      <c r="C84" s="189">
        <v>7</v>
      </c>
      <c r="D84" s="192" t="s">
        <v>224</v>
      </c>
      <c r="E84" s="200" t="s">
        <v>225</v>
      </c>
      <c r="F84" s="196" t="s">
        <v>174</v>
      </c>
      <c r="G84" s="175"/>
      <c r="H84" s="4" t="s">
        <v>226</v>
      </c>
      <c r="I84" s="5">
        <v>3</v>
      </c>
      <c r="J84" s="75" t="b">
        <v>1</v>
      </c>
      <c r="K84" s="17" t="s">
        <v>502</v>
      </c>
      <c r="L84" s="4" t="s">
        <v>503</v>
      </c>
    </row>
    <row r="85" spans="1:12" ht="64.5" customHeight="1" x14ac:dyDescent="0.25">
      <c r="A85" s="176"/>
      <c r="B85" s="176"/>
      <c r="C85" s="190"/>
      <c r="D85" s="194"/>
      <c r="E85" s="202"/>
      <c r="F85" s="198"/>
      <c r="G85" s="176"/>
      <c r="H85" s="7" t="s">
        <v>227</v>
      </c>
      <c r="I85" s="8">
        <v>1</v>
      </c>
      <c r="J85" s="76" t="b">
        <v>0</v>
      </c>
      <c r="K85" s="15"/>
      <c r="L85" s="7"/>
    </row>
    <row r="86" spans="1:12" ht="31.5" customHeight="1" x14ac:dyDescent="0.25">
      <c r="A86" s="175" t="s">
        <v>222</v>
      </c>
      <c r="B86" s="175" t="s">
        <v>223</v>
      </c>
      <c r="C86" s="189" t="s">
        <v>228</v>
      </c>
      <c r="D86" s="192" t="s">
        <v>229</v>
      </c>
      <c r="E86" s="200" t="s">
        <v>230</v>
      </c>
      <c r="F86" s="196" t="s">
        <v>174</v>
      </c>
      <c r="G86" s="175"/>
      <c r="H86" s="100" t="s">
        <v>231</v>
      </c>
      <c r="I86" s="5" t="s">
        <v>385</v>
      </c>
      <c r="J86" s="81" t="b">
        <v>0</v>
      </c>
      <c r="K86" s="17"/>
      <c r="L86" s="4"/>
    </row>
    <row r="87" spans="1:12" ht="51" x14ac:dyDescent="0.25">
      <c r="A87" s="176"/>
      <c r="B87" s="176"/>
      <c r="C87" s="190"/>
      <c r="D87" s="193"/>
      <c r="E87" s="201"/>
      <c r="F87" s="197"/>
      <c r="G87" s="176"/>
      <c r="H87" s="41" t="s">
        <v>232</v>
      </c>
      <c r="I87" s="42">
        <v>0</v>
      </c>
      <c r="J87" s="90" t="b">
        <v>0</v>
      </c>
      <c r="K87" s="43"/>
      <c r="L87" s="41"/>
    </row>
    <row r="88" spans="1:12" ht="41.25" customHeight="1" x14ac:dyDescent="0.25">
      <c r="A88" s="176"/>
      <c r="B88" s="176"/>
      <c r="C88" s="190"/>
      <c r="D88" s="194"/>
      <c r="E88" s="202"/>
      <c r="F88" s="198"/>
      <c r="G88" s="176"/>
      <c r="H88" s="7" t="s">
        <v>233</v>
      </c>
      <c r="I88" s="8">
        <v>1</v>
      </c>
      <c r="J88" s="78" t="b">
        <v>1</v>
      </c>
      <c r="K88" s="15" t="s">
        <v>504</v>
      </c>
      <c r="L88" s="7" t="s">
        <v>505</v>
      </c>
    </row>
    <row r="89" spans="1:12" ht="38.25" customHeight="1" x14ac:dyDescent="0.25">
      <c r="A89" s="176"/>
      <c r="B89" s="176"/>
      <c r="C89" s="190"/>
      <c r="D89" s="194"/>
      <c r="E89" s="202"/>
      <c r="F89" s="198"/>
      <c r="G89" s="176"/>
      <c r="H89" s="7" t="s">
        <v>234</v>
      </c>
      <c r="I89" s="8">
        <v>2</v>
      </c>
      <c r="J89" s="78" t="b">
        <v>0</v>
      </c>
      <c r="K89" s="15"/>
      <c r="L89" s="7"/>
    </row>
    <row r="90" spans="1:12" ht="40.5" customHeight="1" x14ac:dyDescent="0.25">
      <c r="A90" s="177"/>
      <c r="B90" s="177"/>
      <c r="C90" s="191"/>
      <c r="D90" s="195"/>
      <c r="E90" s="203"/>
      <c r="F90" s="199"/>
      <c r="G90" s="177"/>
      <c r="H90" s="101" t="s">
        <v>235</v>
      </c>
      <c r="I90" s="11">
        <v>3</v>
      </c>
      <c r="J90" s="77" t="b">
        <v>0</v>
      </c>
      <c r="K90" s="18"/>
      <c r="L90" s="10"/>
    </row>
    <row r="91" spans="1:12" ht="50.25" customHeight="1" x14ac:dyDescent="0.25">
      <c r="A91" s="25" t="s">
        <v>222</v>
      </c>
      <c r="B91" s="25" t="s">
        <v>223</v>
      </c>
      <c r="C91" s="47" t="s">
        <v>236</v>
      </c>
      <c r="D91" s="67" t="s">
        <v>237</v>
      </c>
      <c r="E91" s="26" t="s">
        <v>238</v>
      </c>
      <c r="F91" s="25" t="s">
        <v>239</v>
      </c>
      <c r="G91" s="26"/>
      <c r="H91" s="26" t="s">
        <v>387</v>
      </c>
      <c r="I91" s="48" t="s">
        <v>103</v>
      </c>
      <c r="J91" s="91" t="s">
        <v>506</v>
      </c>
      <c r="K91" s="25" t="s">
        <v>504</v>
      </c>
      <c r="L91" s="26" t="s">
        <v>507</v>
      </c>
    </row>
    <row r="92" spans="1:12" ht="25.5" x14ac:dyDescent="0.25">
      <c r="A92" s="175" t="s">
        <v>222</v>
      </c>
      <c r="B92" s="175" t="s">
        <v>223</v>
      </c>
      <c r="C92" s="189">
        <v>9</v>
      </c>
      <c r="D92" s="192" t="s">
        <v>240</v>
      </c>
      <c r="E92" s="200" t="s">
        <v>241</v>
      </c>
      <c r="F92" s="196" t="s">
        <v>174</v>
      </c>
      <c r="G92" s="175"/>
      <c r="H92" s="4" t="s">
        <v>242</v>
      </c>
      <c r="I92" s="5">
        <v>0</v>
      </c>
      <c r="J92" s="75" t="b">
        <v>0</v>
      </c>
      <c r="K92" s="17"/>
      <c r="L92" s="4"/>
    </row>
    <row r="93" spans="1:12" ht="38.25" x14ac:dyDescent="0.25">
      <c r="A93" s="176"/>
      <c r="B93" s="176"/>
      <c r="C93" s="190"/>
      <c r="D93" s="194"/>
      <c r="E93" s="202"/>
      <c r="F93" s="198"/>
      <c r="G93" s="176"/>
      <c r="H93" s="7" t="s">
        <v>243</v>
      </c>
      <c r="I93" s="8">
        <v>1</v>
      </c>
      <c r="J93" s="76" t="b">
        <v>0</v>
      </c>
      <c r="K93" s="15"/>
      <c r="L93" s="7"/>
    </row>
    <row r="94" spans="1:12" ht="38.25" x14ac:dyDescent="0.25">
      <c r="A94" s="176"/>
      <c r="B94" s="176"/>
      <c r="C94" s="190"/>
      <c r="D94" s="194"/>
      <c r="E94" s="202"/>
      <c r="F94" s="198"/>
      <c r="G94" s="176"/>
      <c r="H94" s="7" t="s">
        <v>244</v>
      </c>
      <c r="I94" s="8">
        <v>2</v>
      </c>
      <c r="J94" s="76" t="b">
        <v>1</v>
      </c>
      <c r="K94" s="15" t="s">
        <v>508</v>
      </c>
      <c r="L94" s="7" t="s">
        <v>509</v>
      </c>
    </row>
    <row r="95" spans="1:12" ht="25.5" x14ac:dyDescent="0.25">
      <c r="A95" s="177"/>
      <c r="B95" s="177"/>
      <c r="C95" s="191"/>
      <c r="D95" s="195"/>
      <c r="E95" s="203"/>
      <c r="F95" s="199"/>
      <c r="G95" s="177"/>
      <c r="H95" s="10" t="s">
        <v>245</v>
      </c>
      <c r="I95" s="11">
        <v>3</v>
      </c>
      <c r="J95" s="77" t="b">
        <v>0</v>
      </c>
      <c r="K95" s="18"/>
      <c r="L95" s="10"/>
    </row>
    <row r="96" spans="1:12" ht="57.75" customHeight="1" x14ac:dyDescent="0.25">
      <c r="A96" s="175" t="s">
        <v>222</v>
      </c>
      <c r="B96" s="175" t="s">
        <v>246</v>
      </c>
      <c r="C96" s="189" t="s">
        <v>247</v>
      </c>
      <c r="D96" s="192" t="s">
        <v>248</v>
      </c>
      <c r="E96" s="200" t="s">
        <v>249</v>
      </c>
      <c r="F96" s="196" t="s">
        <v>174</v>
      </c>
      <c r="G96" s="175" t="s">
        <v>250</v>
      </c>
      <c r="H96" s="46" t="s">
        <v>251</v>
      </c>
      <c r="I96" s="49" t="s">
        <v>385</v>
      </c>
      <c r="J96" s="75" t="b">
        <v>0</v>
      </c>
      <c r="K96" s="17"/>
      <c r="L96" s="4"/>
    </row>
    <row r="97" spans="1:12" ht="42" customHeight="1" x14ac:dyDescent="0.25">
      <c r="A97" s="176"/>
      <c r="B97" s="176"/>
      <c r="C97" s="190"/>
      <c r="D97" s="231"/>
      <c r="E97" s="233"/>
      <c r="F97" s="232"/>
      <c r="G97" s="176"/>
      <c r="H97" s="37" t="s">
        <v>252</v>
      </c>
      <c r="I97" s="35">
        <v>0</v>
      </c>
      <c r="J97" s="92" t="b">
        <v>0</v>
      </c>
      <c r="K97" s="32"/>
      <c r="L97" s="34"/>
    </row>
    <row r="98" spans="1:12" ht="57.75" customHeight="1" x14ac:dyDescent="0.25">
      <c r="A98" s="176"/>
      <c r="B98" s="176"/>
      <c r="C98" s="190"/>
      <c r="D98" s="231"/>
      <c r="E98" s="233"/>
      <c r="F98" s="232"/>
      <c r="G98" s="176"/>
      <c r="H98" s="37" t="s">
        <v>253</v>
      </c>
      <c r="I98" s="35">
        <v>1</v>
      </c>
      <c r="J98" s="93" t="b">
        <v>0</v>
      </c>
      <c r="K98" s="40"/>
      <c r="L98" s="37"/>
    </row>
    <row r="99" spans="1:12" ht="137.25" customHeight="1" x14ac:dyDescent="0.25">
      <c r="A99" s="177"/>
      <c r="B99" s="177"/>
      <c r="C99" s="191"/>
      <c r="D99" s="195"/>
      <c r="E99" s="203"/>
      <c r="F99" s="199"/>
      <c r="G99" s="177"/>
      <c r="H99" s="24" t="s">
        <v>254</v>
      </c>
      <c r="I99" s="50">
        <v>3</v>
      </c>
      <c r="J99" s="94" t="b">
        <v>1</v>
      </c>
      <c r="K99" s="33" t="s">
        <v>504</v>
      </c>
      <c r="L99" s="24" t="s">
        <v>510</v>
      </c>
    </row>
    <row r="100" spans="1:12" ht="57.6" customHeight="1" x14ac:dyDescent="0.25">
      <c r="A100" s="175" t="s">
        <v>222</v>
      </c>
      <c r="B100" s="175" t="s">
        <v>246</v>
      </c>
      <c r="C100" s="189" t="s">
        <v>255</v>
      </c>
      <c r="D100" s="192" t="s">
        <v>256</v>
      </c>
      <c r="E100" s="200" t="s">
        <v>257</v>
      </c>
      <c r="F100" s="196" t="s">
        <v>174</v>
      </c>
      <c r="G100" s="175"/>
      <c r="H100" s="46" t="s">
        <v>251</v>
      </c>
      <c r="I100" s="49" t="s">
        <v>385</v>
      </c>
      <c r="J100" s="75" t="b">
        <v>0</v>
      </c>
      <c r="K100" s="17"/>
      <c r="L100" s="4"/>
    </row>
    <row r="101" spans="1:12" ht="42" customHeight="1" x14ac:dyDescent="0.25">
      <c r="A101" s="176"/>
      <c r="B101" s="176"/>
      <c r="C101" s="190"/>
      <c r="D101" s="231"/>
      <c r="E101" s="233"/>
      <c r="F101" s="232"/>
      <c r="G101" s="176"/>
      <c r="H101" s="37" t="s">
        <v>252</v>
      </c>
      <c r="I101" s="35">
        <v>0</v>
      </c>
      <c r="J101" s="92" t="b">
        <v>0</v>
      </c>
      <c r="K101" s="32"/>
      <c r="L101" s="34"/>
    </row>
    <row r="102" spans="1:12" ht="63" customHeight="1" x14ac:dyDescent="0.25">
      <c r="A102" s="176"/>
      <c r="B102" s="176"/>
      <c r="C102" s="190"/>
      <c r="D102" s="231"/>
      <c r="E102" s="233"/>
      <c r="F102" s="232"/>
      <c r="G102" s="176"/>
      <c r="H102" s="37" t="s">
        <v>258</v>
      </c>
      <c r="I102" s="35">
        <v>1</v>
      </c>
      <c r="J102" s="93" t="b">
        <v>1</v>
      </c>
      <c r="K102" s="40" t="s">
        <v>9</v>
      </c>
      <c r="L102" s="37" t="s">
        <v>511</v>
      </c>
    </row>
    <row r="103" spans="1:12" ht="74.25" customHeight="1" x14ac:dyDescent="0.25">
      <c r="A103" s="177"/>
      <c r="B103" s="177"/>
      <c r="C103" s="191"/>
      <c r="D103" s="195"/>
      <c r="E103" s="203"/>
      <c r="F103" s="199"/>
      <c r="G103" s="177"/>
      <c r="H103" s="24" t="s">
        <v>254</v>
      </c>
      <c r="I103" s="50">
        <v>3</v>
      </c>
      <c r="J103" s="94" t="b">
        <v>0</v>
      </c>
      <c r="K103" s="33"/>
      <c r="L103" s="24"/>
    </row>
    <row r="104" spans="1:12" ht="27" customHeight="1" x14ac:dyDescent="0.25">
      <c r="A104" s="175" t="s">
        <v>222</v>
      </c>
      <c r="B104" s="175" t="s">
        <v>246</v>
      </c>
      <c r="C104" s="189" t="s">
        <v>259</v>
      </c>
      <c r="D104" s="192" t="s">
        <v>260</v>
      </c>
      <c r="E104" s="200" t="s">
        <v>261</v>
      </c>
      <c r="F104" s="196" t="s">
        <v>93</v>
      </c>
      <c r="G104" s="175"/>
      <c r="H104" s="103" t="s">
        <v>394</v>
      </c>
      <c r="I104" s="49" t="s">
        <v>103</v>
      </c>
      <c r="J104" s="81" t="b">
        <v>0</v>
      </c>
      <c r="K104" s="17"/>
      <c r="L104" s="4"/>
    </row>
    <row r="105" spans="1:12" ht="111" customHeight="1" x14ac:dyDescent="0.25">
      <c r="A105" s="176"/>
      <c r="B105" s="176"/>
      <c r="C105" s="190"/>
      <c r="D105" s="193"/>
      <c r="E105" s="201"/>
      <c r="F105" s="234"/>
      <c r="G105" s="176"/>
      <c r="H105" s="37" t="s">
        <v>263</v>
      </c>
      <c r="I105" s="35" t="s">
        <v>103</v>
      </c>
      <c r="J105" s="96" t="b">
        <v>1</v>
      </c>
      <c r="K105" s="43" t="s">
        <v>512</v>
      </c>
      <c r="L105" s="41" t="s">
        <v>513</v>
      </c>
    </row>
    <row r="106" spans="1:12" ht="24.75" customHeight="1" x14ac:dyDescent="0.25">
      <c r="A106" s="177"/>
      <c r="B106" s="177"/>
      <c r="C106" s="191"/>
      <c r="D106" s="195"/>
      <c r="E106" s="203"/>
      <c r="F106" s="199"/>
      <c r="G106" s="177"/>
      <c r="H106" s="101" t="s">
        <v>264</v>
      </c>
      <c r="I106" s="11" t="s">
        <v>103</v>
      </c>
      <c r="J106" s="77" t="b">
        <v>0</v>
      </c>
      <c r="K106" s="18"/>
      <c r="L106" s="10"/>
    </row>
    <row r="107" spans="1:12" ht="43.5" customHeight="1" x14ac:dyDescent="0.25">
      <c r="A107" s="207" t="s">
        <v>222</v>
      </c>
      <c r="B107" s="207" t="s">
        <v>246</v>
      </c>
      <c r="C107" s="235" t="s">
        <v>265</v>
      </c>
      <c r="D107" s="238" t="s">
        <v>266</v>
      </c>
      <c r="E107" s="241" t="s">
        <v>267</v>
      </c>
      <c r="F107" s="244" t="s">
        <v>163</v>
      </c>
      <c r="G107" s="184"/>
      <c r="H107" s="34" t="s">
        <v>268</v>
      </c>
      <c r="I107" s="31" t="s">
        <v>103</v>
      </c>
      <c r="J107" s="97" t="b">
        <v>1</v>
      </c>
      <c r="K107" s="32" t="s">
        <v>508</v>
      </c>
      <c r="L107" s="34" t="s">
        <v>514</v>
      </c>
    </row>
    <row r="108" spans="1:12" ht="53.25" customHeight="1" x14ac:dyDescent="0.25">
      <c r="A108" s="208"/>
      <c r="B108" s="208"/>
      <c r="C108" s="236"/>
      <c r="D108" s="239"/>
      <c r="E108" s="242"/>
      <c r="F108" s="245"/>
      <c r="G108" s="185"/>
      <c r="H108" s="51" t="s">
        <v>425</v>
      </c>
      <c r="I108" s="40" t="s">
        <v>103</v>
      </c>
      <c r="J108" s="93" t="b">
        <v>1</v>
      </c>
      <c r="K108" s="40" t="s">
        <v>508</v>
      </c>
      <c r="L108" s="37" t="s">
        <v>515</v>
      </c>
    </row>
    <row r="109" spans="1:12" ht="66" customHeight="1" x14ac:dyDescent="0.25">
      <c r="A109" s="208"/>
      <c r="B109" s="208"/>
      <c r="C109" s="236"/>
      <c r="D109" s="239"/>
      <c r="E109" s="242"/>
      <c r="F109" s="245"/>
      <c r="G109" s="185"/>
      <c r="H109" s="37" t="s">
        <v>269</v>
      </c>
      <c r="I109" s="35" t="s">
        <v>103</v>
      </c>
      <c r="J109" s="98" t="b">
        <v>1</v>
      </c>
      <c r="K109" s="40" t="s">
        <v>516</v>
      </c>
      <c r="L109" s="37" t="s">
        <v>517</v>
      </c>
    </row>
    <row r="110" spans="1:12" ht="27" customHeight="1" x14ac:dyDescent="0.25">
      <c r="A110" s="208"/>
      <c r="B110" s="208"/>
      <c r="C110" s="236"/>
      <c r="D110" s="239"/>
      <c r="E110" s="242"/>
      <c r="F110" s="245"/>
      <c r="G110" s="185"/>
      <c r="H110" s="37" t="s">
        <v>270</v>
      </c>
      <c r="I110" s="35" t="s">
        <v>103</v>
      </c>
      <c r="J110" s="98" t="b">
        <v>0</v>
      </c>
      <c r="K110" s="40"/>
      <c r="L110" s="37"/>
    </row>
    <row r="111" spans="1:12" ht="27" customHeight="1" x14ac:dyDescent="0.25">
      <c r="A111" s="208"/>
      <c r="B111" s="208"/>
      <c r="C111" s="236"/>
      <c r="D111" s="239"/>
      <c r="E111" s="242"/>
      <c r="F111" s="245"/>
      <c r="G111" s="185"/>
      <c r="H111" s="37" t="s">
        <v>271</v>
      </c>
      <c r="I111" s="35" t="s">
        <v>103</v>
      </c>
      <c r="J111" s="98" t="b">
        <v>0</v>
      </c>
      <c r="K111" s="40"/>
      <c r="L111" s="37"/>
    </row>
    <row r="112" spans="1:12" ht="27" customHeight="1" x14ac:dyDescent="0.25">
      <c r="A112" s="208"/>
      <c r="B112" s="208"/>
      <c r="C112" s="236"/>
      <c r="D112" s="239"/>
      <c r="E112" s="242"/>
      <c r="F112" s="245"/>
      <c r="G112" s="185"/>
      <c r="H112" s="37" t="s">
        <v>272</v>
      </c>
      <c r="I112" s="35" t="s">
        <v>103</v>
      </c>
      <c r="J112" s="98" t="b">
        <v>0</v>
      </c>
      <c r="K112" s="40"/>
      <c r="L112" s="37"/>
    </row>
    <row r="113" spans="1:12" ht="21.75" customHeight="1" x14ac:dyDescent="0.25">
      <c r="A113" s="209"/>
      <c r="B113" s="209"/>
      <c r="C113" s="237"/>
      <c r="D113" s="240"/>
      <c r="E113" s="243"/>
      <c r="F113" s="246"/>
      <c r="G113" s="186"/>
      <c r="H113" s="52" t="s">
        <v>388</v>
      </c>
      <c r="I113" s="50" t="s">
        <v>103</v>
      </c>
      <c r="J113" s="105"/>
      <c r="K113" s="44"/>
      <c r="L113" s="52"/>
    </row>
    <row r="114" spans="1:12" ht="143.25" customHeight="1" x14ac:dyDescent="0.25">
      <c r="A114" s="175" t="s">
        <v>273</v>
      </c>
      <c r="B114" s="175" t="s">
        <v>196</v>
      </c>
      <c r="C114" s="189" t="s">
        <v>274</v>
      </c>
      <c r="D114" s="192" t="s">
        <v>275</v>
      </c>
      <c r="E114" s="200" t="s">
        <v>276</v>
      </c>
      <c r="F114" s="196" t="s">
        <v>93</v>
      </c>
      <c r="G114" s="175" t="s">
        <v>277</v>
      </c>
      <c r="H114" s="53" t="s">
        <v>251</v>
      </c>
      <c r="I114" s="13" t="s">
        <v>385</v>
      </c>
      <c r="J114" s="75" t="b">
        <v>1</v>
      </c>
      <c r="K114" s="17" t="s">
        <v>522</v>
      </c>
      <c r="L114" s="4" t="s">
        <v>523</v>
      </c>
    </row>
    <row r="115" spans="1:12" ht="35.25" customHeight="1" x14ac:dyDescent="0.25">
      <c r="A115" s="176"/>
      <c r="B115" s="176"/>
      <c r="C115" s="190"/>
      <c r="D115" s="193"/>
      <c r="E115" s="201"/>
      <c r="F115" s="197"/>
      <c r="G115" s="176"/>
      <c r="H115" s="41" t="s">
        <v>278</v>
      </c>
      <c r="I115" s="42">
        <v>3</v>
      </c>
      <c r="J115" s="99" t="b">
        <v>0</v>
      </c>
      <c r="K115" s="43"/>
      <c r="L115" s="41"/>
    </row>
    <row r="116" spans="1:12" ht="35.25" customHeight="1" x14ac:dyDescent="0.25">
      <c r="A116" s="176"/>
      <c r="B116" s="176"/>
      <c r="C116" s="190"/>
      <c r="D116" s="194"/>
      <c r="E116" s="202"/>
      <c r="F116" s="198"/>
      <c r="G116" s="176"/>
      <c r="H116" s="7" t="s">
        <v>279</v>
      </c>
      <c r="I116" s="8">
        <v>2</v>
      </c>
      <c r="J116" s="76" t="b">
        <v>0</v>
      </c>
      <c r="K116" s="15"/>
      <c r="L116" s="7"/>
    </row>
    <row r="117" spans="1:12" ht="35.25" customHeight="1" x14ac:dyDescent="0.25">
      <c r="A117" s="176"/>
      <c r="B117" s="176"/>
      <c r="C117" s="190"/>
      <c r="D117" s="194"/>
      <c r="E117" s="202"/>
      <c r="F117" s="198"/>
      <c r="G117" s="176"/>
      <c r="H117" s="7" t="s">
        <v>280</v>
      </c>
      <c r="I117" s="8">
        <v>1</v>
      </c>
      <c r="J117" s="76" t="b">
        <v>0</v>
      </c>
      <c r="K117" s="15"/>
      <c r="L117" s="7"/>
    </row>
    <row r="118" spans="1:12" ht="34.5" customHeight="1" x14ac:dyDescent="0.25">
      <c r="A118" s="177"/>
      <c r="B118" s="177"/>
      <c r="C118" s="191"/>
      <c r="D118" s="195"/>
      <c r="E118" s="203"/>
      <c r="F118" s="199"/>
      <c r="G118" s="177"/>
      <c r="H118" s="10" t="s">
        <v>281</v>
      </c>
      <c r="I118" s="11">
        <v>0</v>
      </c>
      <c r="J118" s="77" t="b">
        <v>0</v>
      </c>
      <c r="K118" s="18"/>
      <c r="L118" s="10"/>
    </row>
    <row r="119" spans="1:12" ht="48" customHeight="1" x14ac:dyDescent="0.25">
      <c r="A119" s="175" t="s">
        <v>273</v>
      </c>
      <c r="B119" s="175" t="s">
        <v>196</v>
      </c>
      <c r="C119" s="189" t="s">
        <v>282</v>
      </c>
      <c r="D119" s="192" t="s">
        <v>283</v>
      </c>
      <c r="E119" s="200" t="s">
        <v>284</v>
      </c>
      <c r="F119" s="196" t="s">
        <v>93</v>
      </c>
      <c r="G119" s="175" t="s">
        <v>277</v>
      </c>
      <c r="H119" s="53" t="s">
        <v>251</v>
      </c>
      <c r="I119" s="13" t="s">
        <v>385</v>
      </c>
      <c r="J119" s="75" t="b">
        <v>1</v>
      </c>
      <c r="K119" s="17" t="s">
        <v>9</v>
      </c>
      <c r="L119" s="4" t="s">
        <v>518</v>
      </c>
    </row>
    <row r="120" spans="1:12" ht="35.25" customHeight="1" x14ac:dyDescent="0.25">
      <c r="A120" s="176"/>
      <c r="B120" s="176"/>
      <c r="C120" s="190"/>
      <c r="D120" s="193"/>
      <c r="E120" s="201"/>
      <c r="F120" s="197"/>
      <c r="G120" s="176"/>
      <c r="H120" s="41" t="s">
        <v>278</v>
      </c>
      <c r="I120" s="42">
        <v>3</v>
      </c>
      <c r="J120" s="99" t="b">
        <v>0</v>
      </c>
      <c r="K120" s="43"/>
      <c r="L120" s="41"/>
    </row>
    <row r="121" spans="1:12" ht="35.25" customHeight="1" x14ac:dyDescent="0.25">
      <c r="A121" s="176"/>
      <c r="B121" s="176"/>
      <c r="C121" s="190"/>
      <c r="D121" s="194"/>
      <c r="E121" s="202"/>
      <c r="F121" s="198"/>
      <c r="G121" s="176"/>
      <c r="H121" s="7" t="s">
        <v>279</v>
      </c>
      <c r="I121" s="8">
        <v>2</v>
      </c>
      <c r="J121" s="76" t="b">
        <v>0</v>
      </c>
      <c r="K121" s="15"/>
      <c r="L121" s="7"/>
    </row>
    <row r="122" spans="1:12" ht="35.25" customHeight="1" x14ac:dyDescent="0.25">
      <c r="A122" s="176"/>
      <c r="B122" s="176"/>
      <c r="C122" s="190"/>
      <c r="D122" s="194"/>
      <c r="E122" s="202"/>
      <c r="F122" s="198"/>
      <c r="G122" s="176"/>
      <c r="H122" s="7" t="s">
        <v>280</v>
      </c>
      <c r="I122" s="8">
        <v>1</v>
      </c>
      <c r="J122" s="76" t="b">
        <v>0</v>
      </c>
      <c r="K122" s="15"/>
      <c r="L122" s="7"/>
    </row>
    <row r="123" spans="1:12" ht="59.45" customHeight="1" x14ac:dyDescent="0.25">
      <c r="A123" s="177"/>
      <c r="B123" s="177"/>
      <c r="C123" s="191"/>
      <c r="D123" s="195"/>
      <c r="E123" s="203"/>
      <c r="F123" s="199"/>
      <c r="G123" s="177"/>
      <c r="H123" s="10" t="s">
        <v>281</v>
      </c>
      <c r="I123" s="11">
        <v>0</v>
      </c>
      <c r="J123" s="77" t="b">
        <v>0</v>
      </c>
      <c r="K123" s="18"/>
      <c r="L123" s="10"/>
    </row>
    <row r="124" spans="1:12" ht="35.25" customHeight="1" x14ac:dyDescent="0.25">
      <c r="A124" s="175" t="s">
        <v>273</v>
      </c>
      <c r="B124" s="175" t="s">
        <v>196</v>
      </c>
      <c r="C124" s="189" t="s">
        <v>285</v>
      </c>
      <c r="D124" s="192" t="s">
        <v>286</v>
      </c>
      <c r="E124" s="200" t="s">
        <v>287</v>
      </c>
      <c r="F124" s="196" t="s">
        <v>93</v>
      </c>
      <c r="G124" s="175" t="s">
        <v>288</v>
      </c>
      <c r="H124" s="53" t="s">
        <v>251</v>
      </c>
      <c r="I124" s="13" t="s">
        <v>385</v>
      </c>
      <c r="J124" s="75" t="b">
        <v>0</v>
      </c>
      <c r="K124" s="17"/>
      <c r="L124" s="4"/>
    </row>
    <row r="125" spans="1:12" ht="35.25" customHeight="1" x14ac:dyDescent="0.25">
      <c r="A125" s="176"/>
      <c r="B125" s="176"/>
      <c r="C125" s="190"/>
      <c r="D125" s="193"/>
      <c r="E125" s="201"/>
      <c r="F125" s="197"/>
      <c r="G125" s="176"/>
      <c r="H125" s="41" t="s">
        <v>289</v>
      </c>
      <c r="I125" s="42">
        <v>3</v>
      </c>
      <c r="J125" s="99" t="b">
        <v>0</v>
      </c>
      <c r="K125" s="43"/>
      <c r="L125" s="41"/>
    </row>
    <row r="126" spans="1:12" ht="69.75" customHeight="1" x14ac:dyDescent="0.25">
      <c r="A126" s="176"/>
      <c r="B126" s="176"/>
      <c r="C126" s="190"/>
      <c r="D126" s="194"/>
      <c r="E126" s="202"/>
      <c r="F126" s="198"/>
      <c r="G126" s="176"/>
      <c r="H126" s="7" t="s">
        <v>290</v>
      </c>
      <c r="I126" s="8">
        <v>2</v>
      </c>
      <c r="J126" s="76" t="b">
        <v>1</v>
      </c>
      <c r="K126" s="15" t="s">
        <v>288</v>
      </c>
      <c r="L126" s="7" t="s">
        <v>519</v>
      </c>
    </row>
    <row r="127" spans="1:12" ht="35.25" customHeight="1" x14ac:dyDescent="0.25">
      <c r="A127" s="176"/>
      <c r="B127" s="176"/>
      <c r="C127" s="190"/>
      <c r="D127" s="194"/>
      <c r="E127" s="202"/>
      <c r="F127" s="198"/>
      <c r="G127" s="176"/>
      <c r="H127" s="7" t="s">
        <v>291</v>
      </c>
      <c r="I127" s="8">
        <v>1</v>
      </c>
      <c r="J127" s="76" t="b">
        <v>0</v>
      </c>
      <c r="K127" s="15"/>
      <c r="L127" s="7"/>
    </row>
    <row r="128" spans="1:12" ht="59.45" customHeight="1" x14ac:dyDescent="0.25">
      <c r="A128" s="177"/>
      <c r="B128" s="177"/>
      <c r="C128" s="191"/>
      <c r="D128" s="195"/>
      <c r="E128" s="203"/>
      <c r="F128" s="199"/>
      <c r="G128" s="177"/>
      <c r="H128" s="10" t="s">
        <v>292</v>
      </c>
      <c r="I128" s="11">
        <v>0</v>
      </c>
      <c r="J128" s="77" t="b">
        <v>0</v>
      </c>
      <c r="K128" s="18"/>
      <c r="L128" s="10"/>
    </row>
    <row r="129" spans="1:12" ht="35.25" customHeight="1" x14ac:dyDescent="0.25">
      <c r="A129" s="175" t="s">
        <v>273</v>
      </c>
      <c r="B129" s="175" t="s">
        <v>196</v>
      </c>
      <c r="C129" s="189" t="s">
        <v>293</v>
      </c>
      <c r="D129" s="192" t="s">
        <v>294</v>
      </c>
      <c r="E129" s="200" t="s">
        <v>465</v>
      </c>
      <c r="F129" s="196" t="s">
        <v>93</v>
      </c>
      <c r="G129" s="175" t="s">
        <v>277</v>
      </c>
      <c r="H129" s="4" t="s">
        <v>251</v>
      </c>
      <c r="I129" s="5" t="s">
        <v>385</v>
      </c>
      <c r="J129" s="75" t="b">
        <v>1</v>
      </c>
      <c r="K129" s="17" t="s">
        <v>9</v>
      </c>
      <c r="L129" s="4" t="s">
        <v>521</v>
      </c>
    </row>
    <row r="130" spans="1:12" ht="35.25" customHeight="1" x14ac:dyDescent="0.25">
      <c r="A130" s="176"/>
      <c r="B130" s="176"/>
      <c r="C130" s="190"/>
      <c r="D130" s="193"/>
      <c r="E130" s="201"/>
      <c r="F130" s="197"/>
      <c r="G130" s="176"/>
      <c r="H130" s="41" t="s">
        <v>295</v>
      </c>
      <c r="I130" s="42">
        <v>3</v>
      </c>
      <c r="J130" s="99" t="b">
        <v>0</v>
      </c>
      <c r="K130" s="43"/>
      <c r="L130" s="41"/>
    </row>
    <row r="131" spans="1:12" ht="35.25" customHeight="1" x14ac:dyDescent="0.25">
      <c r="A131" s="176"/>
      <c r="B131" s="176"/>
      <c r="C131" s="190"/>
      <c r="D131" s="194"/>
      <c r="E131" s="202"/>
      <c r="F131" s="198"/>
      <c r="G131" s="176"/>
      <c r="H131" s="7" t="s">
        <v>296</v>
      </c>
      <c r="I131" s="8">
        <v>2</v>
      </c>
      <c r="J131" s="76" t="b">
        <v>0</v>
      </c>
      <c r="K131" s="15"/>
      <c r="L131" s="7"/>
    </row>
    <row r="132" spans="1:12" ht="35.25" customHeight="1" x14ac:dyDescent="0.25">
      <c r="A132" s="176"/>
      <c r="B132" s="176"/>
      <c r="C132" s="190"/>
      <c r="D132" s="194"/>
      <c r="E132" s="202"/>
      <c r="F132" s="198"/>
      <c r="G132" s="176"/>
      <c r="H132" s="7" t="s">
        <v>297</v>
      </c>
      <c r="I132" s="8">
        <v>1</v>
      </c>
      <c r="J132" s="76" t="b">
        <v>0</v>
      </c>
      <c r="K132" s="15"/>
      <c r="L132" s="7"/>
    </row>
    <row r="133" spans="1:12" ht="59.45" customHeight="1" x14ac:dyDescent="0.25">
      <c r="A133" s="177"/>
      <c r="B133" s="177"/>
      <c r="C133" s="191"/>
      <c r="D133" s="195"/>
      <c r="E133" s="203"/>
      <c r="F133" s="199"/>
      <c r="G133" s="177"/>
      <c r="H133" s="10" t="s">
        <v>298</v>
      </c>
      <c r="I133" s="11">
        <v>0</v>
      </c>
      <c r="J133" s="77" t="b">
        <v>0</v>
      </c>
      <c r="K133" s="18"/>
      <c r="L133" s="10"/>
    </row>
    <row r="134" spans="1:12" ht="35.25" customHeight="1" x14ac:dyDescent="0.25">
      <c r="A134" s="175" t="s">
        <v>273</v>
      </c>
      <c r="B134" s="175" t="s">
        <v>196</v>
      </c>
      <c r="C134" s="189" t="s">
        <v>299</v>
      </c>
      <c r="D134" s="192" t="s">
        <v>300</v>
      </c>
      <c r="E134" s="200" t="s">
        <v>461</v>
      </c>
      <c r="F134" s="196" t="s">
        <v>93</v>
      </c>
      <c r="G134" s="175" t="s">
        <v>277</v>
      </c>
      <c r="H134" s="4" t="s">
        <v>251</v>
      </c>
      <c r="I134" s="5" t="s">
        <v>385</v>
      </c>
      <c r="J134" s="75" t="b">
        <v>0</v>
      </c>
      <c r="K134" s="17"/>
      <c r="L134" s="4"/>
    </row>
    <row r="135" spans="1:12" ht="35.25" customHeight="1" x14ac:dyDescent="0.25">
      <c r="A135" s="176"/>
      <c r="B135" s="176"/>
      <c r="C135" s="190"/>
      <c r="D135" s="193"/>
      <c r="E135" s="201"/>
      <c r="F135" s="197"/>
      <c r="G135" s="176"/>
      <c r="H135" s="41" t="s">
        <v>295</v>
      </c>
      <c r="I135" s="42">
        <v>3</v>
      </c>
      <c r="J135" s="99" t="b">
        <v>0</v>
      </c>
      <c r="K135" s="43"/>
      <c r="L135" s="41"/>
    </row>
    <row r="136" spans="1:12" ht="35.25" customHeight="1" x14ac:dyDescent="0.25">
      <c r="A136" s="176"/>
      <c r="B136" s="176"/>
      <c r="C136" s="190"/>
      <c r="D136" s="194"/>
      <c r="E136" s="202"/>
      <c r="F136" s="198"/>
      <c r="G136" s="176"/>
      <c r="H136" s="7" t="s">
        <v>296</v>
      </c>
      <c r="I136" s="8">
        <v>2</v>
      </c>
      <c r="J136" s="76" t="b">
        <v>0</v>
      </c>
      <c r="K136" s="15"/>
      <c r="L136" s="7"/>
    </row>
    <row r="137" spans="1:12" ht="35.25" customHeight="1" x14ac:dyDescent="0.25">
      <c r="A137" s="176"/>
      <c r="B137" s="176"/>
      <c r="C137" s="190"/>
      <c r="D137" s="194"/>
      <c r="E137" s="202"/>
      <c r="F137" s="198"/>
      <c r="G137" s="176"/>
      <c r="H137" s="7" t="s">
        <v>297</v>
      </c>
      <c r="I137" s="8">
        <v>1</v>
      </c>
      <c r="J137" s="76" t="b">
        <v>0</v>
      </c>
      <c r="K137" s="15"/>
      <c r="L137" s="7"/>
    </row>
    <row r="138" spans="1:12" ht="59.45" customHeight="1" x14ac:dyDescent="0.25">
      <c r="A138" s="177"/>
      <c r="B138" s="177"/>
      <c r="C138" s="191"/>
      <c r="D138" s="195"/>
      <c r="E138" s="203"/>
      <c r="F138" s="199"/>
      <c r="G138" s="177"/>
      <c r="H138" s="10" t="s">
        <v>298</v>
      </c>
      <c r="I138" s="11">
        <v>0</v>
      </c>
      <c r="J138" s="77" t="b">
        <v>1</v>
      </c>
      <c r="K138" s="18" t="s">
        <v>9</v>
      </c>
      <c r="L138" s="10" t="s">
        <v>524</v>
      </c>
    </row>
    <row r="139" spans="1:12" ht="75" customHeight="1" x14ac:dyDescent="0.25">
      <c r="A139" s="55" t="s">
        <v>273</v>
      </c>
      <c r="B139" s="55" t="s">
        <v>196</v>
      </c>
      <c r="C139" s="54" t="s">
        <v>301</v>
      </c>
      <c r="D139" s="68" t="s">
        <v>302</v>
      </c>
      <c r="E139" s="56" t="s">
        <v>303</v>
      </c>
      <c r="F139" s="55" t="s">
        <v>239</v>
      </c>
      <c r="G139" s="26"/>
      <c r="H139" s="56" t="s">
        <v>387</v>
      </c>
      <c r="I139" s="48" t="s">
        <v>103</v>
      </c>
      <c r="J139" s="91" t="s">
        <v>526</v>
      </c>
      <c r="K139" s="25" t="s">
        <v>525</v>
      </c>
      <c r="L139" s="26" t="s">
        <v>527</v>
      </c>
    </row>
    <row r="140" spans="1:12" ht="38.25" x14ac:dyDescent="0.25">
      <c r="A140" s="175" t="s">
        <v>273</v>
      </c>
      <c r="B140" s="175" t="s">
        <v>196</v>
      </c>
      <c r="C140" s="189" t="s">
        <v>304</v>
      </c>
      <c r="D140" s="192" t="s">
        <v>305</v>
      </c>
      <c r="E140" s="200" t="s">
        <v>306</v>
      </c>
      <c r="F140" s="196" t="s">
        <v>93</v>
      </c>
      <c r="G140" s="175" t="s">
        <v>140</v>
      </c>
      <c r="H140" s="4" t="s">
        <v>295</v>
      </c>
      <c r="I140" s="5">
        <v>3</v>
      </c>
      <c r="J140" s="75" t="b">
        <v>0</v>
      </c>
      <c r="K140" s="17"/>
      <c r="L140" s="4"/>
    </row>
    <row r="141" spans="1:12" ht="25.5" x14ac:dyDescent="0.25">
      <c r="A141" s="176"/>
      <c r="B141" s="176"/>
      <c r="C141" s="190"/>
      <c r="D141" s="194"/>
      <c r="E141" s="202"/>
      <c r="F141" s="198"/>
      <c r="G141" s="176"/>
      <c r="H141" s="7" t="s">
        <v>296</v>
      </c>
      <c r="I141" s="8">
        <v>2</v>
      </c>
      <c r="J141" s="76" t="b">
        <v>0</v>
      </c>
      <c r="K141" s="15"/>
      <c r="L141" s="7"/>
    </row>
    <row r="142" spans="1:12" ht="25.5" x14ac:dyDescent="0.25">
      <c r="A142" s="176"/>
      <c r="B142" s="176"/>
      <c r="C142" s="190"/>
      <c r="D142" s="194"/>
      <c r="E142" s="202"/>
      <c r="F142" s="198"/>
      <c r="G142" s="176"/>
      <c r="H142" s="7" t="s">
        <v>297</v>
      </c>
      <c r="I142" s="8">
        <v>1</v>
      </c>
      <c r="J142" s="76" t="b">
        <v>1</v>
      </c>
      <c r="K142" s="15" t="s">
        <v>288</v>
      </c>
      <c r="L142" s="7" t="s">
        <v>528</v>
      </c>
    </row>
    <row r="143" spans="1:12" ht="25.5" x14ac:dyDescent="0.25">
      <c r="A143" s="176"/>
      <c r="B143" s="176"/>
      <c r="C143" s="190"/>
      <c r="D143" s="194"/>
      <c r="E143" s="202"/>
      <c r="F143" s="198"/>
      <c r="G143" s="176"/>
      <c r="H143" s="7" t="s">
        <v>298</v>
      </c>
      <c r="I143" s="8">
        <v>0</v>
      </c>
      <c r="J143" s="78" t="b">
        <v>0</v>
      </c>
      <c r="K143" s="15"/>
      <c r="L143" s="7"/>
    </row>
    <row r="144" spans="1:12" ht="25.5" x14ac:dyDescent="0.25">
      <c r="A144" s="177"/>
      <c r="B144" s="177"/>
      <c r="C144" s="191"/>
      <c r="D144" s="195"/>
      <c r="E144" s="203"/>
      <c r="F144" s="199"/>
      <c r="G144" s="177"/>
      <c r="H144" s="10" t="s">
        <v>251</v>
      </c>
      <c r="I144" s="11" t="s">
        <v>385</v>
      </c>
      <c r="J144" s="77" t="b">
        <v>0</v>
      </c>
      <c r="K144" s="18"/>
      <c r="L144" s="10"/>
    </row>
    <row r="145" spans="1:12" ht="38.25" x14ac:dyDescent="0.25">
      <c r="A145" s="175" t="s">
        <v>273</v>
      </c>
      <c r="B145" s="175" t="s">
        <v>196</v>
      </c>
      <c r="C145" s="189" t="s">
        <v>307</v>
      </c>
      <c r="D145" s="192" t="s">
        <v>308</v>
      </c>
      <c r="E145" s="200" t="s">
        <v>309</v>
      </c>
      <c r="F145" s="196" t="s">
        <v>93</v>
      </c>
      <c r="G145" s="175"/>
      <c r="H145" s="4" t="s">
        <v>295</v>
      </c>
      <c r="I145" s="5">
        <v>3</v>
      </c>
      <c r="J145" s="81" t="b">
        <v>0</v>
      </c>
      <c r="K145" s="17"/>
      <c r="L145" s="4"/>
    </row>
    <row r="146" spans="1:12" ht="25.5" x14ac:dyDescent="0.25">
      <c r="A146" s="176"/>
      <c r="B146" s="176"/>
      <c r="C146" s="190"/>
      <c r="D146" s="194"/>
      <c r="E146" s="202"/>
      <c r="F146" s="198"/>
      <c r="G146" s="176"/>
      <c r="H146" s="7" t="s">
        <v>296</v>
      </c>
      <c r="I146" s="8">
        <v>2</v>
      </c>
      <c r="J146" s="78" t="b">
        <v>0</v>
      </c>
      <c r="K146" s="15"/>
      <c r="L146" s="7"/>
    </row>
    <row r="147" spans="1:12" ht="114.75" x14ac:dyDescent="0.25">
      <c r="A147" s="176"/>
      <c r="B147" s="176"/>
      <c r="C147" s="190"/>
      <c r="D147" s="194"/>
      <c r="E147" s="202"/>
      <c r="F147" s="198"/>
      <c r="G147" s="176"/>
      <c r="H147" s="7" t="s">
        <v>297</v>
      </c>
      <c r="I147" s="8">
        <v>1</v>
      </c>
      <c r="J147" s="76" t="b">
        <v>1</v>
      </c>
      <c r="K147" s="15" t="s">
        <v>520</v>
      </c>
      <c r="L147" s="7" t="s">
        <v>529</v>
      </c>
    </row>
    <row r="148" spans="1:12" ht="25.5" x14ac:dyDescent="0.25">
      <c r="A148" s="176"/>
      <c r="B148" s="176"/>
      <c r="C148" s="190"/>
      <c r="D148" s="194"/>
      <c r="E148" s="202"/>
      <c r="F148" s="198"/>
      <c r="G148" s="176"/>
      <c r="H148" s="7" t="s">
        <v>298</v>
      </c>
      <c r="I148" s="8">
        <v>0</v>
      </c>
      <c r="J148" s="78" t="b">
        <v>0</v>
      </c>
      <c r="K148" s="15"/>
      <c r="L148" s="7"/>
    </row>
    <row r="149" spans="1:12" ht="25.5" x14ac:dyDescent="0.25">
      <c r="A149" s="177"/>
      <c r="B149" s="177"/>
      <c r="C149" s="191"/>
      <c r="D149" s="195"/>
      <c r="E149" s="203"/>
      <c r="F149" s="199"/>
      <c r="G149" s="177"/>
      <c r="H149" s="10" t="s">
        <v>251</v>
      </c>
      <c r="I149" s="11" t="s">
        <v>385</v>
      </c>
      <c r="J149" s="77" t="b">
        <v>0</v>
      </c>
      <c r="K149" s="18"/>
      <c r="L149" s="10"/>
    </row>
    <row r="150" spans="1:12" ht="38.25" x14ac:dyDescent="0.25">
      <c r="A150" s="175" t="s">
        <v>273</v>
      </c>
      <c r="B150" s="175" t="s">
        <v>196</v>
      </c>
      <c r="C150" s="189" t="s">
        <v>310</v>
      </c>
      <c r="D150" s="192" t="s">
        <v>311</v>
      </c>
      <c r="E150" s="200" t="s">
        <v>312</v>
      </c>
      <c r="F150" s="196" t="s">
        <v>93</v>
      </c>
      <c r="G150" s="175" t="s">
        <v>313</v>
      </c>
      <c r="H150" s="4" t="s">
        <v>295</v>
      </c>
      <c r="I150" s="5">
        <v>3</v>
      </c>
      <c r="J150" s="75" t="b">
        <v>0</v>
      </c>
      <c r="K150" s="17"/>
      <c r="L150" s="4"/>
    </row>
    <row r="151" spans="1:12" ht="25.5" x14ac:dyDescent="0.25">
      <c r="A151" s="176"/>
      <c r="B151" s="176"/>
      <c r="C151" s="190"/>
      <c r="D151" s="194"/>
      <c r="E151" s="202"/>
      <c r="F151" s="198"/>
      <c r="G151" s="176"/>
      <c r="H151" s="7" t="s">
        <v>296</v>
      </c>
      <c r="I151" s="8">
        <v>2</v>
      </c>
      <c r="J151" s="76" t="b">
        <v>0</v>
      </c>
      <c r="K151" s="15"/>
      <c r="L151" s="7"/>
    </row>
    <row r="152" spans="1:12" ht="25.5" x14ac:dyDescent="0.25">
      <c r="A152" s="176"/>
      <c r="B152" s="176"/>
      <c r="C152" s="190"/>
      <c r="D152" s="194"/>
      <c r="E152" s="202"/>
      <c r="F152" s="198"/>
      <c r="G152" s="176"/>
      <c r="H152" s="7" t="s">
        <v>297</v>
      </c>
      <c r="I152" s="8">
        <v>1</v>
      </c>
      <c r="J152" s="76" t="b">
        <v>0</v>
      </c>
      <c r="K152" s="15"/>
      <c r="L152" s="7"/>
    </row>
    <row r="153" spans="1:12" ht="89.25" x14ac:dyDescent="0.25">
      <c r="A153" s="176"/>
      <c r="B153" s="176"/>
      <c r="C153" s="190"/>
      <c r="D153" s="194"/>
      <c r="E153" s="202"/>
      <c r="F153" s="198"/>
      <c r="G153" s="176"/>
      <c r="H153" s="7" t="s">
        <v>298</v>
      </c>
      <c r="I153" s="8">
        <v>0</v>
      </c>
      <c r="J153" s="76" t="b">
        <v>1</v>
      </c>
      <c r="K153" s="15" t="s">
        <v>530</v>
      </c>
      <c r="L153" s="7" t="s">
        <v>531</v>
      </c>
    </row>
    <row r="154" spans="1:12" ht="25.5" x14ac:dyDescent="0.25">
      <c r="A154" s="177"/>
      <c r="B154" s="177"/>
      <c r="C154" s="191"/>
      <c r="D154" s="195"/>
      <c r="E154" s="203"/>
      <c r="F154" s="199"/>
      <c r="G154" s="177"/>
      <c r="H154" s="10" t="s">
        <v>251</v>
      </c>
      <c r="I154" s="11" t="s">
        <v>385</v>
      </c>
      <c r="J154" s="77" t="b">
        <v>0</v>
      </c>
      <c r="K154" s="18"/>
      <c r="L154" s="10"/>
    </row>
    <row r="155" spans="1:12" ht="61.5" customHeight="1" x14ac:dyDescent="0.25">
      <c r="A155" s="32" t="s">
        <v>273</v>
      </c>
      <c r="B155" s="32" t="s">
        <v>196</v>
      </c>
      <c r="C155" s="64" t="s">
        <v>314</v>
      </c>
      <c r="D155" s="66" t="s">
        <v>315</v>
      </c>
      <c r="E155" s="34" t="s">
        <v>316</v>
      </c>
      <c r="F155" s="32" t="s">
        <v>239</v>
      </c>
      <c r="G155" s="32"/>
      <c r="H155" s="34" t="s">
        <v>387</v>
      </c>
      <c r="I155" s="31" t="s">
        <v>103</v>
      </c>
      <c r="J155" s="95" t="s">
        <v>532</v>
      </c>
      <c r="K155" s="32" t="s">
        <v>522</v>
      </c>
      <c r="L155" s="34" t="s">
        <v>533</v>
      </c>
    </row>
    <row r="156" spans="1:12" ht="38.25" x14ac:dyDescent="0.25">
      <c r="A156" s="175" t="s">
        <v>273</v>
      </c>
      <c r="B156" s="175" t="s">
        <v>317</v>
      </c>
      <c r="C156" s="189" t="s">
        <v>318</v>
      </c>
      <c r="D156" s="192" t="s">
        <v>319</v>
      </c>
      <c r="E156" s="200" t="s">
        <v>320</v>
      </c>
      <c r="F156" s="196" t="s">
        <v>93</v>
      </c>
      <c r="G156" s="175" t="s">
        <v>321</v>
      </c>
      <c r="H156" s="100" t="s">
        <v>457</v>
      </c>
      <c r="I156" s="5">
        <v>3</v>
      </c>
      <c r="J156" s="75" t="b">
        <v>0</v>
      </c>
      <c r="K156" s="17"/>
      <c r="L156" s="4"/>
    </row>
    <row r="157" spans="1:12" ht="25.5" x14ac:dyDescent="0.25">
      <c r="A157" s="176"/>
      <c r="B157" s="176"/>
      <c r="C157" s="190"/>
      <c r="D157" s="194"/>
      <c r="E157" s="202"/>
      <c r="F157" s="198"/>
      <c r="G157" s="176"/>
      <c r="H157" s="102" t="s">
        <v>458</v>
      </c>
      <c r="I157" s="8">
        <v>2</v>
      </c>
      <c r="J157" s="78" t="b">
        <v>0</v>
      </c>
      <c r="K157" s="15"/>
      <c r="L157" s="7"/>
    </row>
    <row r="158" spans="1:12" ht="63.75" x14ac:dyDescent="0.25">
      <c r="A158" s="176"/>
      <c r="B158" s="176"/>
      <c r="C158" s="190"/>
      <c r="D158" s="194"/>
      <c r="E158" s="202"/>
      <c r="F158" s="198"/>
      <c r="G158" s="176"/>
      <c r="H158" s="102" t="s">
        <v>459</v>
      </c>
      <c r="I158" s="8">
        <v>1</v>
      </c>
      <c r="J158" s="76" t="b">
        <v>1</v>
      </c>
      <c r="K158" s="15" t="s">
        <v>534</v>
      </c>
      <c r="L158" s="7" t="s">
        <v>535</v>
      </c>
    </row>
    <row r="159" spans="1:12" ht="32.25" customHeight="1" x14ac:dyDescent="0.25">
      <c r="A159" s="176"/>
      <c r="B159" s="176"/>
      <c r="C159" s="190"/>
      <c r="D159" s="194"/>
      <c r="E159" s="202"/>
      <c r="F159" s="198"/>
      <c r="G159" s="176"/>
      <c r="H159" s="102" t="s">
        <v>398</v>
      </c>
      <c r="I159" s="8">
        <v>0</v>
      </c>
      <c r="J159" s="76" t="b">
        <v>0</v>
      </c>
      <c r="K159" s="15"/>
      <c r="L159" s="7"/>
    </row>
    <row r="160" spans="1:12" ht="75.75" customHeight="1" x14ac:dyDescent="0.25">
      <c r="A160" s="177"/>
      <c r="B160" s="177"/>
      <c r="C160" s="191"/>
      <c r="D160" s="195"/>
      <c r="E160" s="203"/>
      <c r="F160" s="199"/>
      <c r="G160" s="177"/>
      <c r="H160" s="101" t="s">
        <v>396</v>
      </c>
      <c r="I160" s="11" t="s">
        <v>385</v>
      </c>
      <c r="J160" s="77" t="b">
        <v>0</v>
      </c>
      <c r="K160" s="18"/>
      <c r="L160" s="10"/>
    </row>
    <row r="161" spans="1:12" ht="63.75" hidden="1" x14ac:dyDescent="0.25">
      <c r="A161" s="25" t="s">
        <v>273</v>
      </c>
      <c r="B161" s="25" t="s">
        <v>317</v>
      </c>
      <c r="C161" s="47" t="s">
        <v>322</v>
      </c>
      <c r="D161" s="67" t="s">
        <v>323</v>
      </c>
      <c r="E161" s="26" t="s">
        <v>324</v>
      </c>
      <c r="F161" s="25" t="s">
        <v>239</v>
      </c>
      <c r="G161" s="26"/>
      <c r="H161" s="26" t="s">
        <v>387</v>
      </c>
      <c r="I161" s="48" t="s">
        <v>103</v>
      </c>
      <c r="J161" s="91"/>
      <c r="K161" s="25"/>
      <c r="L161" s="26"/>
    </row>
    <row r="162" spans="1:12" ht="54" customHeight="1" x14ac:dyDescent="0.25">
      <c r="A162" s="25" t="s">
        <v>273</v>
      </c>
      <c r="B162" s="25" t="s">
        <v>317</v>
      </c>
      <c r="C162" s="47" t="s">
        <v>325</v>
      </c>
      <c r="D162" s="67" t="s">
        <v>326</v>
      </c>
      <c r="E162" s="26" t="s">
        <v>327</v>
      </c>
      <c r="F162" s="25" t="s">
        <v>239</v>
      </c>
      <c r="G162" s="26"/>
      <c r="H162" s="26" t="s">
        <v>387</v>
      </c>
      <c r="I162" s="48" t="s">
        <v>103</v>
      </c>
      <c r="J162" s="91" t="s">
        <v>536</v>
      </c>
      <c r="K162" s="25" t="s">
        <v>534</v>
      </c>
      <c r="L162" s="26" t="s">
        <v>537</v>
      </c>
    </row>
    <row r="163" spans="1:12" ht="153" x14ac:dyDescent="0.25">
      <c r="A163" s="25" t="s">
        <v>273</v>
      </c>
      <c r="B163" s="25" t="s">
        <v>317</v>
      </c>
      <c r="C163" s="47" t="s">
        <v>328</v>
      </c>
      <c r="D163" s="67" t="s">
        <v>329</v>
      </c>
      <c r="E163" s="26" t="s">
        <v>330</v>
      </c>
      <c r="F163" s="25" t="s">
        <v>239</v>
      </c>
      <c r="G163" s="26"/>
      <c r="H163" s="26" t="s">
        <v>387</v>
      </c>
      <c r="I163" s="48" t="s">
        <v>103</v>
      </c>
      <c r="J163" s="91" t="s">
        <v>538</v>
      </c>
      <c r="K163" s="25" t="s">
        <v>539</v>
      </c>
      <c r="L163" s="26" t="s">
        <v>540</v>
      </c>
    </row>
    <row r="164" spans="1:12" ht="38.25" x14ac:dyDescent="0.25">
      <c r="A164" s="175" t="s">
        <v>273</v>
      </c>
      <c r="B164" s="175" t="s">
        <v>317</v>
      </c>
      <c r="C164" s="189" t="s">
        <v>331</v>
      </c>
      <c r="D164" s="192" t="s">
        <v>332</v>
      </c>
      <c r="E164" s="200" t="s">
        <v>333</v>
      </c>
      <c r="F164" s="196" t="s">
        <v>93</v>
      </c>
      <c r="G164" s="181" t="s">
        <v>334</v>
      </c>
      <c r="H164" s="100" t="s">
        <v>399</v>
      </c>
      <c r="I164" s="5">
        <v>3</v>
      </c>
      <c r="J164" s="75" t="b">
        <v>0</v>
      </c>
      <c r="K164" s="17"/>
      <c r="L164" s="19"/>
    </row>
    <row r="165" spans="1:12" ht="102" x14ac:dyDescent="0.25">
      <c r="A165" s="176"/>
      <c r="B165" s="176"/>
      <c r="C165" s="190"/>
      <c r="D165" s="194"/>
      <c r="E165" s="202"/>
      <c r="F165" s="198"/>
      <c r="G165" s="182"/>
      <c r="H165" s="102" t="s">
        <v>400</v>
      </c>
      <c r="I165" s="8">
        <v>2</v>
      </c>
      <c r="J165" s="76" t="b">
        <v>1</v>
      </c>
      <c r="K165" s="15" t="s">
        <v>534</v>
      </c>
      <c r="L165" s="7" t="s">
        <v>541</v>
      </c>
    </row>
    <row r="166" spans="1:12" ht="38.25" x14ac:dyDescent="0.25">
      <c r="A166" s="176"/>
      <c r="B166" s="176"/>
      <c r="C166" s="190"/>
      <c r="D166" s="194"/>
      <c r="E166" s="202"/>
      <c r="F166" s="198"/>
      <c r="G166" s="182"/>
      <c r="H166" s="102" t="s">
        <v>402</v>
      </c>
      <c r="I166" s="8">
        <v>1</v>
      </c>
      <c r="J166" s="76" t="b">
        <v>0</v>
      </c>
      <c r="K166" s="15"/>
      <c r="L166" s="7"/>
    </row>
    <row r="167" spans="1:12" ht="25.5" x14ac:dyDescent="0.25">
      <c r="A167" s="176"/>
      <c r="B167" s="176"/>
      <c r="C167" s="190"/>
      <c r="D167" s="194"/>
      <c r="E167" s="202"/>
      <c r="F167" s="198"/>
      <c r="G167" s="182"/>
      <c r="H167" s="102" t="s">
        <v>401</v>
      </c>
      <c r="I167" s="8">
        <v>0</v>
      </c>
      <c r="J167" s="76" t="b">
        <v>0</v>
      </c>
      <c r="K167" s="15"/>
      <c r="L167" s="7"/>
    </row>
    <row r="168" spans="1:12" ht="30" customHeight="1" x14ac:dyDescent="0.25">
      <c r="A168" s="177"/>
      <c r="B168" s="177"/>
      <c r="C168" s="191"/>
      <c r="D168" s="195"/>
      <c r="E168" s="203"/>
      <c r="F168" s="199"/>
      <c r="G168" s="183"/>
      <c r="H168" s="101" t="s">
        <v>397</v>
      </c>
      <c r="I168" s="11" t="s">
        <v>385</v>
      </c>
      <c r="J168" s="80" t="b">
        <v>0</v>
      </c>
      <c r="K168" s="18"/>
      <c r="L168" s="10"/>
    </row>
    <row r="169" spans="1:12" ht="63.75" hidden="1" x14ac:dyDescent="0.25">
      <c r="A169" s="25" t="s">
        <v>273</v>
      </c>
      <c r="B169" s="25" t="s">
        <v>317</v>
      </c>
      <c r="C169" s="47" t="s">
        <v>335</v>
      </c>
      <c r="D169" s="67" t="s">
        <v>336</v>
      </c>
      <c r="E169" s="26" t="s">
        <v>324</v>
      </c>
      <c r="F169" s="25" t="s">
        <v>239</v>
      </c>
      <c r="G169" s="26"/>
      <c r="H169" s="26" t="s">
        <v>387</v>
      </c>
      <c r="I169" s="48" t="s">
        <v>103</v>
      </c>
      <c r="J169" s="91"/>
      <c r="K169" s="25"/>
      <c r="L169" s="26"/>
    </row>
    <row r="170" spans="1:12" ht="63.75" x14ac:dyDescent="0.25">
      <c r="A170" s="25" t="s">
        <v>273</v>
      </c>
      <c r="B170" s="25" t="s">
        <v>317</v>
      </c>
      <c r="C170" s="47" t="s">
        <v>337</v>
      </c>
      <c r="D170" s="67" t="s">
        <v>338</v>
      </c>
      <c r="E170" s="26" t="s">
        <v>327</v>
      </c>
      <c r="F170" s="25" t="s">
        <v>239</v>
      </c>
      <c r="G170" s="25" t="s">
        <v>339</v>
      </c>
      <c r="H170" s="26" t="s">
        <v>387</v>
      </c>
      <c r="I170" s="48" t="s">
        <v>103</v>
      </c>
      <c r="J170" s="91" t="s">
        <v>542</v>
      </c>
      <c r="K170" s="25" t="s">
        <v>288</v>
      </c>
      <c r="L170" s="26" t="s">
        <v>543</v>
      </c>
    </row>
    <row r="171" spans="1:12" ht="143.25" customHeight="1" x14ac:dyDescent="0.25">
      <c r="A171" s="25" t="s">
        <v>273</v>
      </c>
      <c r="B171" s="25" t="s">
        <v>317</v>
      </c>
      <c r="C171" s="47" t="s">
        <v>340</v>
      </c>
      <c r="D171" s="67" t="s">
        <v>341</v>
      </c>
      <c r="E171" s="26" t="s">
        <v>342</v>
      </c>
      <c r="F171" s="25" t="s">
        <v>239</v>
      </c>
      <c r="G171" s="26"/>
      <c r="H171" s="26" t="s">
        <v>387</v>
      </c>
      <c r="I171" s="48" t="s">
        <v>103</v>
      </c>
      <c r="J171" s="91" t="s">
        <v>544</v>
      </c>
      <c r="K171" s="25" t="s">
        <v>288</v>
      </c>
      <c r="L171" s="26" t="s">
        <v>545</v>
      </c>
    </row>
    <row r="172" spans="1:12" ht="24.75" customHeight="1" x14ac:dyDescent="0.25">
      <c r="A172" s="181" t="s">
        <v>273</v>
      </c>
      <c r="B172" s="181" t="s">
        <v>317</v>
      </c>
      <c r="C172" s="204">
        <v>16</v>
      </c>
      <c r="D172" s="225" t="s">
        <v>343</v>
      </c>
      <c r="E172" s="200" t="s">
        <v>344</v>
      </c>
      <c r="F172" s="217" t="s">
        <v>93</v>
      </c>
      <c r="G172" s="175" t="s">
        <v>345</v>
      </c>
      <c r="H172" s="19" t="s">
        <v>389</v>
      </c>
      <c r="I172" s="21">
        <v>3</v>
      </c>
      <c r="J172" s="87" t="b">
        <v>0</v>
      </c>
      <c r="K172" s="21"/>
      <c r="L172" s="4"/>
    </row>
    <row r="173" spans="1:12" ht="24.75" customHeight="1" x14ac:dyDescent="0.25">
      <c r="A173" s="182"/>
      <c r="B173" s="182"/>
      <c r="C173" s="205"/>
      <c r="D173" s="226"/>
      <c r="E173" s="202"/>
      <c r="F173" s="219"/>
      <c r="G173" s="176"/>
      <c r="H173" s="22" t="s">
        <v>346</v>
      </c>
      <c r="I173" s="23">
        <v>2</v>
      </c>
      <c r="J173" s="88" t="b">
        <v>1</v>
      </c>
      <c r="K173" s="23" t="s">
        <v>345</v>
      </c>
      <c r="L173" s="22" t="s">
        <v>546</v>
      </c>
    </row>
    <row r="174" spans="1:12" ht="24.75" customHeight="1" x14ac:dyDescent="0.25">
      <c r="A174" s="182"/>
      <c r="B174" s="182"/>
      <c r="C174" s="205"/>
      <c r="D174" s="226"/>
      <c r="E174" s="202"/>
      <c r="F174" s="219"/>
      <c r="G174" s="176"/>
      <c r="H174" s="22" t="s">
        <v>390</v>
      </c>
      <c r="I174" s="23">
        <v>1</v>
      </c>
      <c r="J174" s="88" t="b">
        <v>0</v>
      </c>
      <c r="K174" s="23"/>
      <c r="L174" s="22"/>
    </row>
    <row r="175" spans="1:12" ht="24.75" customHeight="1" x14ac:dyDescent="0.25">
      <c r="A175" s="183"/>
      <c r="B175" s="183"/>
      <c r="C175" s="206"/>
      <c r="D175" s="227"/>
      <c r="E175" s="203"/>
      <c r="F175" s="220"/>
      <c r="G175" s="177"/>
      <c r="H175" s="20" t="s">
        <v>347</v>
      </c>
      <c r="I175" s="11">
        <v>0</v>
      </c>
      <c r="J175" s="80" t="b">
        <v>0</v>
      </c>
      <c r="K175" s="16"/>
      <c r="L175" s="20"/>
    </row>
    <row r="176" spans="1:12" ht="24.75" customHeight="1" x14ac:dyDescent="0.25">
      <c r="A176" s="181" t="s">
        <v>273</v>
      </c>
      <c r="B176" s="181" t="s">
        <v>317</v>
      </c>
      <c r="C176" s="204">
        <v>17</v>
      </c>
      <c r="D176" s="225" t="s">
        <v>348</v>
      </c>
      <c r="E176" s="200" t="s">
        <v>349</v>
      </c>
      <c r="F176" s="217" t="s">
        <v>93</v>
      </c>
      <c r="G176" s="175" t="s">
        <v>345</v>
      </c>
      <c r="H176" s="19" t="s">
        <v>391</v>
      </c>
      <c r="I176" s="21">
        <v>3</v>
      </c>
      <c r="J176" s="87" t="b">
        <v>0</v>
      </c>
      <c r="K176" s="21"/>
      <c r="L176" s="4"/>
    </row>
    <row r="177" spans="1:12" ht="24.75" customHeight="1" x14ac:dyDescent="0.25">
      <c r="A177" s="182"/>
      <c r="B177" s="182"/>
      <c r="C177" s="205"/>
      <c r="D177" s="226"/>
      <c r="E177" s="202"/>
      <c r="F177" s="219"/>
      <c r="G177" s="176"/>
      <c r="H177" s="22" t="s">
        <v>350</v>
      </c>
      <c r="I177" s="23">
        <v>2</v>
      </c>
      <c r="J177" s="88" t="b">
        <v>1</v>
      </c>
      <c r="K177" s="23" t="s">
        <v>345</v>
      </c>
      <c r="L177" s="22" t="s">
        <v>547</v>
      </c>
    </row>
    <row r="178" spans="1:12" ht="24.75" customHeight="1" x14ac:dyDescent="0.25">
      <c r="A178" s="182"/>
      <c r="B178" s="182"/>
      <c r="C178" s="205"/>
      <c r="D178" s="226"/>
      <c r="E178" s="202"/>
      <c r="F178" s="219"/>
      <c r="G178" s="176"/>
      <c r="H178" s="22" t="s">
        <v>392</v>
      </c>
      <c r="I178" s="23">
        <v>1</v>
      </c>
      <c r="J178" s="88" t="b">
        <v>0</v>
      </c>
      <c r="K178" s="23"/>
      <c r="L178" s="22"/>
    </row>
    <row r="179" spans="1:12" ht="100.5" customHeight="1" x14ac:dyDescent="0.25">
      <c r="A179" s="183"/>
      <c r="B179" s="183"/>
      <c r="C179" s="206"/>
      <c r="D179" s="227"/>
      <c r="E179" s="203"/>
      <c r="F179" s="220"/>
      <c r="G179" s="177"/>
      <c r="H179" s="20" t="s">
        <v>347</v>
      </c>
      <c r="I179" s="11">
        <v>0</v>
      </c>
      <c r="J179" s="80" t="b">
        <v>0</v>
      </c>
      <c r="K179" s="16"/>
      <c r="L179" s="20"/>
    </row>
    <row r="180" spans="1:12" ht="38.25" x14ac:dyDescent="0.25">
      <c r="A180" s="181" t="s">
        <v>273</v>
      </c>
      <c r="B180" s="181" t="s">
        <v>317</v>
      </c>
      <c r="C180" s="204" t="s">
        <v>351</v>
      </c>
      <c r="D180" s="225" t="s">
        <v>352</v>
      </c>
      <c r="E180" s="228" t="s">
        <v>353</v>
      </c>
      <c r="F180" s="217" t="s">
        <v>93</v>
      </c>
      <c r="G180" s="175" t="s">
        <v>354</v>
      </c>
      <c r="H180" s="100" t="s">
        <v>355</v>
      </c>
      <c r="I180" s="21">
        <v>0</v>
      </c>
      <c r="J180" s="87" t="b">
        <v>0</v>
      </c>
      <c r="K180" s="21"/>
      <c r="L180" s="4"/>
    </row>
    <row r="181" spans="1:12" ht="25.5" x14ac:dyDescent="0.25">
      <c r="A181" s="182"/>
      <c r="B181" s="182"/>
      <c r="C181" s="205"/>
      <c r="D181" s="226"/>
      <c r="E181" s="229"/>
      <c r="F181" s="219"/>
      <c r="G181" s="176"/>
      <c r="H181" s="7" t="s">
        <v>356</v>
      </c>
      <c r="I181" s="23" t="s">
        <v>385</v>
      </c>
      <c r="J181" s="88" t="b">
        <v>0</v>
      </c>
      <c r="K181" s="23"/>
      <c r="L181" s="22"/>
    </row>
    <row r="182" spans="1:12" ht="51" x14ac:dyDescent="0.25">
      <c r="A182" s="183"/>
      <c r="B182" s="183"/>
      <c r="C182" s="206"/>
      <c r="D182" s="227"/>
      <c r="E182" s="230"/>
      <c r="F182" s="220"/>
      <c r="G182" s="177"/>
      <c r="H182" s="101" t="s">
        <v>357</v>
      </c>
      <c r="I182" s="16">
        <v>3</v>
      </c>
      <c r="J182" s="79" t="b">
        <v>1</v>
      </c>
      <c r="K182" s="16" t="s">
        <v>550</v>
      </c>
      <c r="L182" s="20" t="s">
        <v>551</v>
      </c>
    </row>
    <row r="183" spans="1:12" hidden="1" x14ac:dyDescent="0.25">
      <c r="A183" s="181" t="s">
        <v>273</v>
      </c>
      <c r="B183" s="181" t="s">
        <v>317</v>
      </c>
      <c r="C183" s="204" t="s">
        <v>358</v>
      </c>
      <c r="D183" s="225" t="s">
        <v>359</v>
      </c>
      <c r="E183" s="228" t="s">
        <v>360</v>
      </c>
      <c r="F183" s="217" t="s">
        <v>93</v>
      </c>
      <c r="G183" s="175" t="s">
        <v>354</v>
      </c>
      <c r="H183" s="4" t="s">
        <v>262</v>
      </c>
      <c r="I183" s="21">
        <v>1</v>
      </c>
      <c r="J183" s="87" t="b">
        <v>0</v>
      </c>
      <c r="K183" s="21"/>
      <c r="L183" s="4"/>
    </row>
    <row r="184" spans="1:12" ht="20.25" hidden="1" customHeight="1" x14ac:dyDescent="0.25">
      <c r="A184" s="182"/>
      <c r="B184" s="182"/>
      <c r="C184" s="205"/>
      <c r="D184" s="226"/>
      <c r="E184" s="229"/>
      <c r="F184" s="219"/>
      <c r="G184" s="176"/>
      <c r="H184" s="7" t="s">
        <v>361</v>
      </c>
      <c r="I184" s="23">
        <v>0</v>
      </c>
      <c r="J184" s="88" t="b">
        <v>0</v>
      </c>
      <c r="K184" s="23"/>
      <c r="L184" s="22"/>
    </row>
    <row r="185" spans="1:12" ht="123" hidden="1" customHeight="1" x14ac:dyDescent="0.25">
      <c r="A185" s="182"/>
      <c r="B185" s="182"/>
      <c r="C185" s="205"/>
      <c r="D185" s="226"/>
      <c r="E185" s="229"/>
      <c r="F185" s="219"/>
      <c r="G185" s="176"/>
      <c r="H185" s="7" t="s">
        <v>362</v>
      </c>
      <c r="I185" s="23">
        <v>2</v>
      </c>
      <c r="J185" s="88" t="b">
        <v>0</v>
      </c>
      <c r="K185" s="23"/>
      <c r="L185" s="16"/>
    </row>
    <row r="186" spans="1:12" ht="12.75" customHeight="1" x14ac:dyDescent="0.25">
      <c r="A186" s="196" t="s">
        <v>273</v>
      </c>
      <c r="B186" s="196" t="s">
        <v>317</v>
      </c>
      <c r="C186" s="221" t="s">
        <v>363</v>
      </c>
      <c r="D186" s="213" t="s">
        <v>364</v>
      </c>
      <c r="E186" s="200" t="s">
        <v>365</v>
      </c>
      <c r="F186" s="217" t="s">
        <v>174</v>
      </c>
      <c r="G186" s="175"/>
      <c r="H186" s="100" t="s">
        <v>415</v>
      </c>
      <c r="I186" s="5">
        <v>3</v>
      </c>
      <c r="J186" s="81" t="b">
        <v>0</v>
      </c>
      <c r="K186" s="17"/>
      <c r="L186" s="17"/>
    </row>
    <row r="187" spans="1:12" ht="28.5" customHeight="1" x14ac:dyDescent="0.25">
      <c r="A187" s="197"/>
      <c r="B187" s="197"/>
      <c r="C187" s="222"/>
      <c r="D187" s="214"/>
      <c r="E187" s="201"/>
      <c r="F187" s="218"/>
      <c r="G187" s="176"/>
      <c r="H187" s="108" t="s">
        <v>414</v>
      </c>
      <c r="I187" s="42">
        <v>2</v>
      </c>
      <c r="J187" s="90" t="b">
        <v>0</v>
      </c>
      <c r="K187" s="43"/>
      <c r="L187" s="43"/>
    </row>
    <row r="188" spans="1:12" ht="34.5" customHeight="1" x14ac:dyDescent="0.25">
      <c r="A188" s="197"/>
      <c r="B188" s="197"/>
      <c r="C188" s="222"/>
      <c r="D188" s="214"/>
      <c r="E188" s="201"/>
      <c r="F188" s="218"/>
      <c r="G188" s="176"/>
      <c r="H188" s="108" t="s">
        <v>413</v>
      </c>
      <c r="I188" s="42">
        <v>1</v>
      </c>
      <c r="J188" s="90" t="b">
        <v>0</v>
      </c>
      <c r="K188" s="43"/>
      <c r="L188" s="41"/>
    </row>
    <row r="189" spans="1:12" ht="89.25" x14ac:dyDescent="0.25">
      <c r="A189" s="198"/>
      <c r="B189" s="198"/>
      <c r="C189" s="223"/>
      <c r="D189" s="215"/>
      <c r="E189" s="202"/>
      <c r="F189" s="219"/>
      <c r="G189" s="176"/>
      <c r="H189" s="7" t="s">
        <v>191</v>
      </c>
      <c r="I189" s="8">
        <v>0</v>
      </c>
      <c r="J189" s="78" t="b">
        <v>1</v>
      </c>
      <c r="K189" s="15" t="s">
        <v>539</v>
      </c>
      <c r="L189" s="7" t="s">
        <v>552</v>
      </c>
    </row>
    <row r="190" spans="1:12" ht="38.1" customHeight="1" x14ac:dyDescent="0.25">
      <c r="A190" s="199"/>
      <c r="B190" s="199"/>
      <c r="C190" s="224"/>
      <c r="D190" s="216"/>
      <c r="E190" s="203"/>
      <c r="F190" s="220"/>
      <c r="G190" s="177"/>
      <c r="H190" s="104" t="s">
        <v>408</v>
      </c>
      <c r="I190" s="11" t="s">
        <v>103</v>
      </c>
      <c r="J190" s="77" t="b">
        <v>0</v>
      </c>
      <c r="K190" s="18"/>
      <c r="L190" s="10"/>
    </row>
    <row r="191" spans="1:12" ht="57.6" customHeight="1" x14ac:dyDescent="0.25">
      <c r="A191" s="33" t="s">
        <v>273</v>
      </c>
      <c r="B191" s="33" t="s">
        <v>317</v>
      </c>
      <c r="C191" s="106" t="s">
        <v>366</v>
      </c>
      <c r="D191" s="107" t="s">
        <v>370</v>
      </c>
      <c r="E191" s="24" t="s">
        <v>406</v>
      </c>
      <c r="F191" s="44" t="s">
        <v>239</v>
      </c>
      <c r="G191" s="33"/>
      <c r="H191" s="48" t="s">
        <v>387</v>
      </c>
      <c r="I191" s="48" t="s">
        <v>103</v>
      </c>
      <c r="J191" s="109" t="s">
        <v>553</v>
      </c>
      <c r="K191" s="33" t="s">
        <v>554</v>
      </c>
      <c r="L191" s="24" t="s">
        <v>503</v>
      </c>
    </row>
    <row r="192" spans="1:12" x14ac:dyDescent="0.25">
      <c r="A192" s="196" t="s">
        <v>273</v>
      </c>
      <c r="B192" s="196" t="s">
        <v>317</v>
      </c>
      <c r="C192" s="221" t="s">
        <v>369</v>
      </c>
      <c r="D192" s="213" t="s">
        <v>367</v>
      </c>
      <c r="E192" s="200" t="s">
        <v>368</v>
      </c>
      <c r="F192" s="217" t="s">
        <v>174</v>
      </c>
      <c r="G192" s="175"/>
      <c r="H192" s="100" t="s">
        <v>412</v>
      </c>
      <c r="I192" s="5">
        <v>3</v>
      </c>
      <c r="J192" s="81" t="b">
        <v>0</v>
      </c>
      <c r="K192" s="17"/>
      <c r="L192" s="4"/>
    </row>
    <row r="193" spans="1:12" ht="25.5" x14ac:dyDescent="0.25">
      <c r="A193" s="197"/>
      <c r="B193" s="197"/>
      <c r="C193" s="222"/>
      <c r="D193" s="214"/>
      <c r="E193" s="201"/>
      <c r="F193" s="218"/>
      <c r="G193" s="176"/>
      <c r="H193" s="108" t="s">
        <v>411</v>
      </c>
      <c r="I193" s="42">
        <v>2</v>
      </c>
      <c r="J193" s="90" t="b">
        <v>0</v>
      </c>
      <c r="K193" s="43"/>
      <c r="L193" s="41"/>
    </row>
    <row r="194" spans="1:12" ht="38.25" x14ac:dyDescent="0.25">
      <c r="A194" s="197"/>
      <c r="B194" s="197"/>
      <c r="C194" s="222"/>
      <c r="D194" s="214"/>
      <c r="E194" s="201"/>
      <c r="F194" s="218"/>
      <c r="G194" s="176"/>
      <c r="H194" s="108" t="s">
        <v>410</v>
      </c>
      <c r="I194" s="42">
        <v>1</v>
      </c>
      <c r="J194" s="90" t="b">
        <v>0</v>
      </c>
      <c r="K194" s="43"/>
      <c r="L194" s="41"/>
    </row>
    <row r="195" spans="1:12" ht="102" x14ac:dyDescent="0.25">
      <c r="A195" s="198"/>
      <c r="B195" s="198"/>
      <c r="C195" s="223"/>
      <c r="D195" s="215"/>
      <c r="E195" s="202"/>
      <c r="F195" s="219"/>
      <c r="G195" s="176"/>
      <c r="H195" s="7" t="s">
        <v>191</v>
      </c>
      <c r="I195" s="8">
        <v>0</v>
      </c>
      <c r="J195" s="78" t="b">
        <v>1</v>
      </c>
      <c r="K195" s="15" t="s">
        <v>555</v>
      </c>
      <c r="L195" s="7" t="s">
        <v>556</v>
      </c>
    </row>
    <row r="196" spans="1:12" ht="23.1" customHeight="1" x14ac:dyDescent="0.25">
      <c r="A196" s="199"/>
      <c r="B196" s="199"/>
      <c r="C196" s="224"/>
      <c r="D196" s="216"/>
      <c r="E196" s="203"/>
      <c r="F196" s="220"/>
      <c r="G196" s="177"/>
      <c r="H196" s="104" t="s">
        <v>407</v>
      </c>
      <c r="I196" s="11" t="s">
        <v>103</v>
      </c>
      <c r="J196" s="77" t="b">
        <v>0</v>
      </c>
      <c r="K196" s="18"/>
      <c r="L196" s="10"/>
    </row>
    <row r="197" spans="1:12" ht="89.25" customHeight="1" x14ac:dyDescent="0.25">
      <c r="A197" s="25" t="s">
        <v>273</v>
      </c>
      <c r="B197" s="25" t="s">
        <v>317</v>
      </c>
      <c r="C197" s="47" t="s">
        <v>404</v>
      </c>
      <c r="D197" s="69" t="s">
        <v>405</v>
      </c>
      <c r="E197" s="26" t="s">
        <v>409</v>
      </c>
      <c r="F197" s="55" t="s">
        <v>239</v>
      </c>
      <c r="G197" s="26"/>
      <c r="H197" s="48" t="s">
        <v>387</v>
      </c>
      <c r="I197" s="48" t="s">
        <v>103</v>
      </c>
      <c r="J197" s="91" t="s">
        <v>557</v>
      </c>
      <c r="K197" s="25" t="s">
        <v>534</v>
      </c>
      <c r="L197" s="26" t="s">
        <v>558</v>
      </c>
    </row>
    <row r="198" spans="1:12" ht="63.75" x14ac:dyDescent="0.25">
      <c r="A198" s="25" t="s">
        <v>55</v>
      </c>
      <c r="B198" s="25" t="s">
        <v>55</v>
      </c>
      <c r="C198" s="47">
        <v>20</v>
      </c>
      <c r="D198" s="69" t="s">
        <v>371</v>
      </c>
      <c r="E198" s="26" t="s">
        <v>372</v>
      </c>
      <c r="F198" s="55" t="s">
        <v>239</v>
      </c>
      <c r="G198" s="26"/>
      <c r="H198" s="48" t="s">
        <v>395</v>
      </c>
      <c r="I198" s="48" t="s">
        <v>103</v>
      </c>
      <c r="J198" s="91" t="s">
        <v>559</v>
      </c>
      <c r="K198" s="25" t="s">
        <v>560</v>
      </c>
      <c r="L198" s="26" t="s">
        <v>503</v>
      </c>
    </row>
  </sheetData>
  <autoFilter ref="A1:L198" xr:uid="{0505072D-CFB5-418C-9F61-F9B1D3520A49}"/>
  <mergeCells count="295">
    <mergeCell ref="B183:B185"/>
    <mergeCell ref="B124:B128"/>
    <mergeCell ref="B129:B133"/>
    <mergeCell ref="B134:B138"/>
    <mergeCell ref="B140:B144"/>
    <mergeCell ref="B145:B149"/>
    <mergeCell ref="B150:B154"/>
    <mergeCell ref="B172:B175"/>
    <mergeCell ref="B176:B179"/>
    <mergeCell ref="B180:B182"/>
    <mergeCell ref="B192:B196"/>
    <mergeCell ref="B186:B190"/>
    <mergeCell ref="B156:B160"/>
    <mergeCell ref="B164:B168"/>
    <mergeCell ref="B15:B19"/>
    <mergeCell ref="B20:B24"/>
    <mergeCell ref="B25:B29"/>
    <mergeCell ref="B30:B33"/>
    <mergeCell ref="B34:B37"/>
    <mergeCell ref="B38:B42"/>
    <mergeCell ref="B43:B46"/>
    <mergeCell ref="B47:B51"/>
    <mergeCell ref="B52:B54"/>
    <mergeCell ref="B55:B59"/>
    <mergeCell ref="B60:B63"/>
    <mergeCell ref="B64:B66"/>
    <mergeCell ref="B67:B69"/>
    <mergeCell ref="B70:B71"/>
    <mergeCell ref="B72:B75"/>
    <mergeCell ref="B76:B79"/>
    <mergeCell ref="B80:B83"/>
    <mergeCell ref="B84:B85"/>
    <mergeCell ref="B86:B90"/>
    <mergeCell ref="B92:B95"/>
    <mergeCell ref="F2:F9"/>
    <mergeCell ref="E2:E9"/>
    <mergeCell ref="E20:E24"/>
    <mergeCell ref="A20:A24"/>
    <mergeCell ref="E25:E29"/>
    <mergeCell ref="E30:E33"/>
    <mergeCell ref="C30:C33"/>
    <mergeCell ref="A30:A33"/>
    <mergeCell ref="E15:E19"/>
    <mergeCell ref="A15:A19"/>
    <mergeCell ref="A25:A29"/>
    <mergeCell ref="C10:C14"/>
    <mergeCell ref="F10:F14"/>
    <mergeCell ref="C15:C19"/>
    <mergeCell ref="C20:C24"/>
    <mergeCell ref="D10:D14"/>
    <mergeCell ref="A10:A14"/>
    <mergeCell ref="E10:E14"/>
    <mergeCell ref="B2:B9"/>
    <mergeCell ref="B10:B14"/>
    <mergeCell ref="A34:A37"/>
    <mergeCell ref="A38:A42"/>
    <mergeCell ref="C25:C29"/>
    <mergeCell ref="E34:E37"/>
    <mergeCell ref="C38:C42"/>
    <mergeCell ref="C34:C37"/>
    <mergeCell ref="E47:E51"/>
    <mergeCell ref="C2:C9"/>
    <mergeCell ref="A2:A9"/>
    <mergeCell ref="D2:D9"/>
    <mergeCell ref="D38:D42"/>
    <mergeCell ref="A43:A46"/>
    <mergeCell ref="C47:C51"/>
    <mergeCell ref="C43:C46"/>
    <mergeCell ref="F38:F42"/>
    <mergeCell ref="E38:E42"/>
    <mergeCell ref="D43:D46"/>
    <mergeCell ref="D15:D19"/>
    <mergeCell ref="F15:F19"/>
    <mergeCell ref="D20:D24"/>
    <mergeCell ref="F20:F24"/>
    <mergeCell ref="D25:D29"/>
    <mergeCell ref="F25:F29"/>
    <mergeCell ref="D30:D33"/>
    <mergeCell ref="F30:F33"/>
    <mergeCell ref="F43:F46"/>
    <mergeCell ref="E43:E46"/>
    <mergeCell ref="D34:D37"/>
    <mergeCell ref="F34:F37"/>
    <mergeCell ref="E60:E63"/>
    <mergeCell ref="F55:F59"/>
    <mergeCell ref="C52:C54"/>
    <mergeCell ref="D76:D79"/>
    <mergeCell ref="F76:F79"/>
    <mergeCell ref="C67:C69"/>
    <mergeCell ref="C76:C79"/>
    <mergeCell ref="C64:C66"/>
    <mergeCell ref="F64:F66"/>
    <mergeCell ref="D67:D69"/>
    <mergeCell ref="F67:F69"/>
    <mergeCell ref="E67:E69"/>
    <mergeCell ref="E52:E54"/>
    <mergeCell ref="D52:D54"/>
    <mergeCell ref="C72:C75"/>
    <mergeCell ref="C60:C63"/>
    <mergeCell ref="C55:C59"/>
    <mergeCell ref="E64:E66"/>
    <mergeCell ref="D55:D59"/>
    <mergeCell ref="F47:F51"/>
    <mergeCell ref="D60:D63"/>
    <mergeCell ref="F60:F63"/>
    <mergeCell ref="A80:A83"/>
    <mergeCell ref="A52:A54"/>
    <mergeCell ref="A55:A59"/>
    <mergeCell ref="A64:A66"/>
    <mergeCell ref="A67:A69"/>
    <mergeCell ref="A60:A63"/>
    <mergeCell ref="A70:A71"/>
    <mergeCell ref="A47:A51"/>
    <mergeCell ref="D47:D51"/>
    <mergeCell ref="E55:E59"/>
    <mergeCell ref="D64:D66"/>
    <mergeCell ref="E70:E71"/>
    <mergeCell ref="D72:D75"/>
    <mergeCell ref="F72:F75"/>
    <mergeCell ref="E72:E75"/>
    <mergeCell ref="A72:A75"/>
    <mergeCell ref="A76:A79"/>
    <mergeCell ref="F52:F54"/>
    <mergeCell ref="D80:D83"/>
    <mergeCell ref="F80:F83"/>
    <mergeCell ref="E80:E83"/>
    <mergeCell ref="A134:A138"/>
    <mergeCell ref="D134:D138"/>
    <mergeCell ref="F134:F138"/>
    <mergeCell ref="C129:C133"/>
    <mergeCell ref="E129:E133"/>
    <mergeCell ref="F129:F133"/>
    <mergeCell ref="B96:B99"/>
    <mergeCell ref="B100:B103"/>
    <mergeCell ref="B104:B106"/>
    <mergeCell ref="A119:A123"/>
    <mergeCell ref="D119:D123"/>
    <mergeCell ref="E119:E123"/>
    <mergeCell ref="F119:F123"/>
    <mergeCell ref="C100:C103"/>
    <mergeCell ref="A100:A103"/>
    <mergeCell ref="D100:D103"/>
    <mergeCell ref="E100:E103"/>
    <mergeCell ref="F100:F103"/>
    <mergeCell ref="C107:C113"/>
    <mergeCell ref="A107:A113"/>
    <mergeCell ref="D107:D113"/>
    <mergeCell ref="E107:E113"/>
    <mergeCell ref="F107:F113"/>
    <mergeCell ref="C114:C118"/>
    <mergeCell ref="E172:E175"/>
    <mergeCell ref="D176:D179"/>
    <mergeCell ref="F176:F179"/>
    <mergeCell ref="E176:E179"/>
    <mergeCell ref="A172:A175"/>
    <mergeCell ref="A176:A179"/>
    <mergeCell ref="A164:A168"/>
    <mergeCell ref="C164:C168"/>
    <mergeCell ref="A104:A106"/>
    <mergeCell ref="C104:C106"/>
    <mergeCell ref="D104:D106"/>
    <mergeCell ref="F104:F106"/>
    <mergeCell ref="D164:D168"/>
    <mergeCell ref="A150:A154"/>
    <mergeCell ref="C124:C128"/>
    <mergeCell ref="A124:A128"/>
    <mergeCell ref="D124:D128"/>
    <mergeCell ref="E124:E128"/>
    <mergeCell ref="F124:F128"/>
    <mergeCell ref="E134:E138"/>
    <mergeCell ref="D129:D133"/>
    <mergeCell ref="A145:A149"/>
    <mergeCell ref="A129:A133"/>
    <mergeCell ref="C134:C138"/>
    <mergeCell ref="E140:E144"/>
    <mergeCell ref="F156:F160"/>
    <mergeCell ref="C145:C149"/>
    <mergeCell ref="A156:A160"/>
    <mergeCell ref="C150:C154"/>
    <mergeCell ref="D150:D154"/>
    <mergeCell ref="F150:F154"/>
    <mergeCell ref="E150:E154"/>
    <mergeCell ref="A140:A144"/>
    <mergeCell ref="C140:C144"/>
    <mergeCell ref="D140:D144"/>
    <mergeCell ref="F140:F144"/>
    <mergeCell ref="D145:D149"/>
    <mergeCell ref="F145:F149"/>
    <mergeCell ref="E145:E149"/>
    <mergeCell ref="G186:G190"/>
    <mergeCell ref="G192:G196"/>
    <mergeCell ref="F186:F190"/>
    <mergeCell ref="C96:C99"/>
    <mergeCell ref="D96:D99"/>
    <mergeCell ref="F96:F99"/>
    <mergeCell ref="E96:E99"/>
    <mergeCell ref="C92:C95"/>
    <mergeCell ref="D92:D95"/>
    <mergeCell ref="F92:F95"/>
    <mergeCell ref="C192:C196"/>
    <mergeCell ref="C156:C160"/>
    <mergeCell ref="D156:D160"/>
    <mergeCell ref="E156:E160"/>
    <mergeCell ref="C119:C123"/>
    <mergeCell ref="G180:G182"/>
    <mergeCell ref="G183:G185"/>
    <mergeCell ref="G114:G118"/>
    <mergeCell ref="G119:G123"/>
    <mergeCell ref="G124:G128"/>
    <mergeCell ref="G129:G133"/>
    <mergeCell ref="G134:G138"/>
    <mergeCell ref="G140:G144"/>
    <mergeCell ref="G145:G149"/>
    <mergeCell ref="A192:A196"/>
    <mergeCell ref="D192:D196"/>
    <mergeCell ref="E192:E196"/>
    <mergeCell ref="F192:F196"/>
    <mergeCell ref="C186:C190"/>
    <mergeCell ref="A186:A190"/>
    <mergeCell ref="D186:D190"/>
    <mergeCell ref="E186:E190"/>
    <mergeCell ref="F164:F168"/>
    <mergeCell ref="E164:E168"/>
    <mergeCell ref="C180:C182"/>
    <mergeCell ref="A180:A182"/>
    <mergeCell ref="D180:D182"/>
    <mergeCell ref="E180:E182"/>
    <mergeCell ref="F180:F182"/>
    <mergeCell ref="C176:C179"/>
    <mergeCell ref="A183:A185"/>
    <mergeCell ref="C183:C185"/>
    <mergeCell ref="D183:D185"/>
    <mergeCell ref="F183:F185"/>
    <mergeCell ref="E183:E185"/>
    <mergeCell ref="C172:C175"/>
    <mergeCell ref="D172:D175"/>
    <mergeCell ref="F172:F175"/>
    <mergeCell ref="D114:D118"/>
    <mergeCell ref="F114:F118"/>
    <mergeCell ref="E114:E118"/>
    <mergeCell ref="A114:A118"/>
    <mergeCell ref="B107:B113"/>
    <mergeCell ref="B114:B118"/>
    <mergeCell ref="B119:B123"/>
    <mergeCell ref="G2:G9"/>
    <mergeCell ref="G10:G14"/>
    <mergeCell ref="G15:G19"/>
    <mergeCell ref="G20:G24"/>
    <mergeCell ref="G25:G29"/>
    <mergeCell ref="G30:G33"/>
    <mergeCell ref="G34:G37"/>
    <mergeCell ref="G38:G42"/>
    <mergeCell ref="G43:G46"/>
    <mergeCell ref="E92:E95"/>
    <mergeCell ref="E104:E106"/>
    <mergeCell ref="A86:A90"/>
    <mergeCell ref="G52:G54"/>
    <mergeCell ref="G55:G59"/>
    <mergeCell ref="G60:G63"/>
    <mergeCell ref="G64:G66"/>
    <mergeCell ref="G67:G69"/>
    <mergeCell ref="A92:A95"/>
    <mergeCell ref="A96:A99"/>
    <mergeCell ref="C70:C71"/>
    <mergeCell ref="C86:C90"/>
    <mergeCell ref="D86:D90"/>
    <mergeCell ref="F86:F90"/>
    <mergeCell ref="E86:E90"/>
    <mergeCell ref="C84:C85"/>
    <mergeCell ref="D84:D85"/>
    <mergeCell ref="F84:F85"/>
    <mergeCell ref="E84:E85"/>
    <mergeCell ref="A84:A85"/>
    <mergeCell ref="C80:C83"/>
    <mergeCell ref="E76:E79"/>
    <mergeCell ref="D70:D71"/>
    <mergeCell ref="F70:F71"/>
    <mergeCell ref="G47:G51"/>
    <mergeCell ref="H47:H51"/>
    <mergeCell ref="G164:G168"/>
    <mergeCell ref="G172:G175"/>
    <mergeCell ref="G176:G179"/>
    <mergeCell ref="G84:G85"/>
    <mergeCell ref="G86:G90"/>
    <mergeCell ref="G92:G95"/>
    <mergeCell ref="G96:G99"/>
    <mergeCell ref="G150:G154"/>
    <mergeCell ref="G156:G160"/>
    <mergeCell ref="G107:G113"/>
    <mergeCell ref="G70:G71"/>
    <mergeCell ref="G72:G75"/>
    <mergeCell ref="G76:G79"/>
    <mergeCell ref="G80:G83"/>
    <mergeCell ref="G100:G103"/>
    <mergeCell ref="G104:G106"/>
  </mergeCells>
  <conditionalFormatting sqref="A2:L9">
    <cfRule type="expression" dxfId="327" priority="329">
      <formula>OR($J$2=TRUE,$J$3=TRUE,$J$4=TRUE,$J$5=TRUE,$J$6=TRUE,$J$7=TRUE,$J$8=TRUE,$J$9=TRUE)</formula>
    </cfRule>
  </conditionalFormatting>
  <conditionalFormatting sqref="A10:L12 A14:L14 A13:K13">
    <cfRule type="expression" dxfId="326" priority="330">
      <formula>OR($J$10=TRUE,$J$11=TRUE,$J$12=TRUE,$J$13=TRUE,$J$14=TRUE)</formula>
    </cfRule>
  </conditionalFormatting>
  <conditionalFormatting sqref="A15:L17 A19:L19 A18:K18">
    <cfRule type="expression" dxfId="325" priority="328">
      <formula>OR($J$15=TRUE,$J$16=TRUE,$J$17=TRUE,$J$18=TRUE,$J$19=TRUE)</formula>
    </cfRule>
  </conditionalFormatting>
  <conditionalFormatting sqref="A20:L22 A24:L24 A23:K23">
    <cfRule type="expression" dxfId="324" priority="248">
      <formula>OR($J$10=TRUE,$J$14=TRUE)</formula>
    </cfRule>
    <cfRule type="expression" dxfId="323" priority="327">
      <formula>OR($J$20=TRUE,$J$21=TRUE,$J$22=TRUE,$J$23=TRUE,$J$24=TRUE)</formula>
    </cfRule>
  </conditionalFormatting>
  <conditionalFormatting sqref="A25:L27 A29:L29 A28:K28">
    <cfRule type="expression" dxfId="322" priority="247">
      <formula>OR($J$15=TRUE,$J$19=TRUE)</formula>
    </cfRule>
    <cfRule type="expression" dxfId="321" priority="326">
      <formula>OR($J$25=TRUE,$J$26=TRUE,$J$27=TRUE,$J$28=TRUE,$J$29=TRUE)</formula>
    </cfRule>
  </conditionalFormatting>
  <conditionalFormatting sqref="A30:L32 A33:K33">
    <cfRule type="expression" dxfId="320" priority="325">
      <formula>OR($J$30=TRUE,$J$31=TRUE,$J$32=TRUE,$J$33=TRUE)</formula>
    </cfRule>
  </conditionalFormatting>
  <conditionalFormatting sqref="A34:L37">
    <cfRule type="expression" dxfId="319" priority="246">
      <formula>$J$33=TRUE</formula>
    </cfRule>
    <cfRule type="expression" dxfId="318" priority="324">
      <formula>OR($J$34=TRUE,$J$35=TRUE,$J$36=TRUE,$J$37=TRUE)</formula>
    </cfRule>
  </conditionalFormatting>
  <conditionalFormatting sqref="A39:L42 A38:J38">
    <cfRule type="expression" dxfId="317" priority="323">
      <formula>OR($J$38=TRUE,$J$39=TRUE,$J$40=TRUE,$J$41=TRUE,$J$42=TRUE)</formula>
    </cfRule>
  </conditionalFormatting>
  <conditionalFormatting sqref="A43:L46">
    <cfRule type="expression" dxfId="316" priority="322">
      <formula>OR($J$43=TRUE,$J$44=TRUE,$J$45=TRUE,$J$46=TRUE)</formula>
    </cfRule>
  </conditionalFormatting>
  <conditionalFormatting sqref="A47:L51">
    <cfRule type="expression" dxfId="315" priority="321">
      <formula>$J$47&lt;&gt;""</formula>
    </cfRule>
  </conditionalFormatting>
  <conditionalFormatting sqref="A53:L54 A52:J52">
    <cfRule type="expression" dxfId="314" priority="320">
      <formula>OR($J$52=TRUE,$J$53=TRUE,$J$54=TRUE)</formula>
    </cfRule>
  </conditionalFormatting>
  <conditionalFormatting sqref="A55:L58 A59:J59">
    <cfRule type="expression" dxfId="313" priority="319">
      <formula>OR($J$55=TRUE,$J$56=TRUE,$J$57=TRUE,$J$58=TRUE,$J$59=TRUE)</formula>
    </cfRule>
  </conditionalFormatting>
  <conditionalFormatting sqref="A60:L62 A63:K63">
    <cfRule type="expression" dxfId="312" priority="244">
      <formula>OR($J$55=TRUE,$J$56=TRUE)</formula>
    </cfRule>
    <cfRule type="expression" dxfId="311" priority="318">
      <formula>OR($J$60=TRUE,$J$61=TRUE,$J$62=TRUE,$J$63=TRUE)</formula>
    </cfRule>
  </conditionalFormatting>
  <conditionalFormatting sqref="A64:L66">
    <cfRule type="expression" dxfId="310" priority="317">
      <formula>OR($J$64=TRUE,$J$65=TRUE,$J$66=TRUE)</formula>
    </cfRule>
  </conditionalFormatting>
  <conditionalFormatting sqref="A67:L68 A69:K69">
    <cfRule type="expression" dxfId="309" priority="316">
      <formula>OR($J$67=TRUE,$J$68=TRUE,$J$69=TRUE)</formula>
    </cfRule>
  </conditionalFormatting>
  <conditionalFormatting sqref="A71:L71 A70:K70">
    <cfRule type="expression" dxfId="308" priority="315">
      <formula>OR($J$70=TRUE,$J$71=TRUE)</formula>
    </cfRule>
  </conditionalFormatting>
  <conditionalFormatting sqref="A72:L75">
    <cfRule type="expression" dxfId="307" priority="314">
      <formula>OR($J$72=TRUE,$J$73=TRUE,$J$74=TRUE,$J$75=TRUE)</formula>
    </cfRule>
  </conditionalFormatting>
  <conditionalFormatting sqref="A76:L79">
    <cfRule type="expression" dxfId="306" priority="313">
      <formula>OR($J$76=TRUE,$J$77=TRUE,$J$78=TRUE,$J$79=TRUE)</formula>
    </cfRule>
  </conditionalFormatting>
  <conditionalFormatting sqref="A80:L83">
    <cfRule type="expression" dxfId="305" priority="312">
      <formula>OR($J$80=TRUE,$J$81=TRUE,$J$82=TRUE,$J$83=TRUE)</formula>
    </cfRule>
  </conditionalFormatting>
  <conditionalFormatting sqref="A84:L85">
    <cfRule type="expression" dxfId="304" priority="311">
      <formula>OR($J$84=TRUE,$J$85=TRUE)</formula>
    </cfRule>
  </conditionalFormatting>
  <conditionalFormatting sqref="A86:L90">
    <cfRule type="expression" dxfId="303" priority="310">
      <formula>OR($J$86=TRUE,$J$87=TRUE,$J$88=TRUE,$J$89=TRUE,$J$90=TRUE)</formula>
    </cfRule>
  </conditionalFormatting>
  <conditionalFormatting sqref="A91:L91">
    <cfRule type="expression" dxfId="302" priority="241">
      <formula>OR($J$86=TRUE,$J$90=TRUE)</formula>
    </cfRule>
    <cfRule type="expression" dxfId="301" priority="309">
      <formula>$J$91&lt;&gt;""</formula>
    </cfRule>
  </conditionalFormatting>
  <conditionalFormatting sqref="A92:L95">
    <cfRule type="expression" dxfId="300" priority="308">
      <formula>OR($J$92=TRUE,$J$93=TRUE,$J$94=TRUE,$J$95=TRUE)</formula>
    </cfRule>
  </conditionalFormatting>
  <conditionalFormatting sqref="A96:L99">
    <cfRule type="expression" dxfId="299" priority="307">
      <formula>OR($J$96=TRUE,$J$97=TRUE,$J$98=TRUE,$J$99=TRUE)</formula>
    </cfRule>
  </conditionalFormatting>
  <conditionalFormatting sqref="A100:L103">
    <cfRule type="expression" dxfId="298" priority="306">
      <formula>OR($J$100=TRUE,$J$101=TRUE,$J$102=TRUE,$J$103=TRUE)</formula>
    </cfRule>
  </conditionalFormatting>
  <conditionalFormatting sqref="A104:L106">
    <cfRule type="expression" dxfId="297" priority="305">
      <formula>OR($J$104=TRUE,$J$105=TRUE,$J$106=TRUE)</formula>
    </cfRule>
  </conditionalFormatting>
  <conditionalFormatting sqref="A107:L113">
    <cfRule type="expression" dxfId="296" priority="237">
      <formula>$J$113&lt;&gt;""</formula>
    </cfRule>
    <cfRule type="expression" dxfId="295" priority="240">
      <formula>OR($J$104=TRUE,$J$106=TRUE)</formula>
    </cfRule>
    <cfRule type="expression" dxfId="294" priority="304">
      <formula>OR($J$107=TRUE,$J$108=TRUE,$J$109=TRUE,$J$110=TRUE,$J$111=TRUE,$J$112=TRUE,$J$113=TRUE)</formula>
    </cfRule>
  </conditionalFormatting>
  <conditionalFormatting sqref="A114:L118">
    <cfRule type="expression" dxfId="293" priority="303">
      <formula>OR($J$114=TRUE,$J$115=TRUE,$J$116=TRUE,$J$117=TRUE,$J$118=TRUE)</formula>
    </cfRule>
  </conditionalFormatting>
  <conditionalFormatting sqref="A119:L123">
    <cfRule type="expression" dxfId="292" priority="302">
      <formula>OR($J$119=TRUE,$J$120=TRUE,$J$121=TRUE,$J$122=TRUE,$J$123=TRUE)</formula>
    </cfRule>
  </conditionalFormatting>
  <conditionalFormatting sqref="A124:L128">
    <cfRule type="expression" dxfId="291" priority="301">
      <formula>OR($J$124=TRUE,$J$125=TRUE,$J$126=TRUE,$J$127=TRUE,$J$128=TRUE)</formula>
    </cfRule>
  </conditionalFormatting>
  <conditionalFormatting sqref="A129:L133">
    <cfRule type="expression" dxfId="290" priority="300">
      <formula>OR($J$129=TRUE,$J$130=TRUE,$J$131=TRUE,$J$132=TRUE,$J$133=TRUE)</formula>
    </cfRule>
  </conditionalFormatting>
  <conditionalFormatting sqref="A134:L138">
    <cfRule type="expression" dxfId="289" priority="299">
      <formula>OR($J$134=TRUE,$J$135=TRUE,$J$136=TRUE,$J$137=TRUE,$J$138=TRUE)</formula>
    </cfRule>
  </conditionalFormatting>
  <conditionalFormatting sqref="A139:L139">
    <cfRule type="expression" dxfId="288" priority="298">
      <formula>$J$139&lt;&gt;""</formula>
    </cfRule>
  </conditionalFormatting>
  <conditionalFormatting sqref="A140:L144">
    <cfRule type="expression" dxfId="287" priority="297">
      <formula>OR($J$140=TRUE,$J$141=TRUE,$J$142=TRUE,$J$143=TRUE,$J$144=TRUE)</formula>
    </cfRule>
  </conditionalFormatting>
  <conditionalFormatting sqref="A145:L149">
    <cfRule type="expression" dxfId="286" priority="296">
      <formula>OR($J$145=TRUE,$J$146=TRUE,$J$147=TRUE,$J$148=TRUE,$J$149=TRUE)</formula>
    </cfRule>
  </conditionalFormatting>
  <conditionalFormatting sqref="A150:L154">
    <cfRule type="expression" dxfId="285" priority="295">
      <formula>OR($J$150=TRUE,$J$151=TRUE,$J$152=TRUE,$J$153=TRUE,$J$154=TRUE)</formula>
    </cfRule>
  </conditionalFormatting>
  <conditionalFormatting sqref="A155:L155">
    <cfRule type="expression" dxfId="284" priority="294">
      <formula>$J$155&lt;&gt;""</formula>
    </cfRule>
  </conditionalFormatting>
  <conditionalFormatting sqref="A156:L160">
    <cfRule type="expression" dxfId="283" priority="293">
      <formula>OR($J$156=TRUE,$J$157=TRUE,$J$158=TRUE,$J$159=TRUE,$J$160=TRUE)</formula>
    </cfRule>
  </conditionalFormatting>
  <conditionalFormatting sqref="A161:L161">
    <cfRule type="expression" dxfId="282" priority="56">
      <formula>OR($J$157=TRUE,$J$158=TRUE,$J$159=TRUE)</formula>
    </cfRule>
    <cfRule type="expression" dxfId="281" priority="292">
      <formula>$J$161&lt;&gt;""</formula>
    </cfRule>
  </conditionalFormatting>
  <conditionalFormatting sqref="A162:L162">
    <cfRule type="expression" dxfId="280" priority="291">
      <formula>$J$162&lt;&gt;""</formula>
    </cfRule>
  </conditionalFormatting>
  <conditionalFormatting sqref="A163:L163">
    <cfRule type="expression" dxfId="279" priority="54">
      <formula>$J$156=TRUE</formula>
    </cfRule>
    <cfRule type="expression" dxfId="278" priority="290">
      <formula>$J$163&lt;&gt;""</formula>
    </cfRule>
  </conditionalFormatting>
  <conditionalFormatting sqref="A164:L168">
    <cfRule type="expression" dxfId="277" priority="289">
      <formula>OR($J$164=TRUE,$J$165=TRUE,$J$166=TRUE,$J$167=TRUE,$J$168=TRUE)</formula>
    </cfRule>
  </conditionalFormatting>
  <conditionalFormatting sqref="A169:L169">
    <cfRule type="expression" dxfId="276" priority="53">
      <formula>OR($J$165=TRUE,$J$166=TRUE,$J$167=TRUE)</formula>
    </cfRule>
    <cfRule type="expression" dxfId="275" priority="288">
      <formula>$J$169&lt;&gt;""</formula>
    </cfRule>
  </conditionalFormatting>
  <conditionalFormatting sqref="A170:L170">
    <cfRule type="expression" dxfId="274" priority="287">
      <formula>$J$170&lt;&gt;""</formula>
    </cfRule>
  </conditionalFormatting>
  <conditionalFormatting sqref="A171:L171">
    <cfRule type="expression" dxfId="273" priority="52">
      <formula>$J$164=TRUE</formula>
    </cfRule>
    <cfRule type="expression" dxfId="272" priority="286">
      <formula>$J$171&lt;&gt;""</formula>
    </cfRule>
  </conditionalFormatting>
  <conditionalFormatting sqref="A172:L175">
    <cfRule type="expression" dxfId="271" priority="285">
      <formula>OR($J$172=TRUE,$J$173=TRUE,$J$174=TRUE,$J$175=TRUE)</formula>
    </cfRule>
  </conditionalFormatting>
  <conditionalFormatting sqref="A176:L179">
    <cfRule type="expression" dxfId="270" priority="284">
      <formula>OR($J$176=TRUE,$J$177=TRUE,$J$178=TRUE,$J$179=TRUE)</formula>
    </cfRule>
  </conditionalFormatting>
  <conditionalFormatting sqref="A180:L182">
    <cfRule type="expression" dxfId="269" priority="283">
      <formula>OR($J$180=TRUE,$J$181=TRUE,$J$182=TRUE)</formula>
    </cfRule>
  </conditionalFormatting>
  <conditionalFormatting sqref="A183:L185">
    <cfRule type="expression" dxfId="268" priority="239">
      <formula>OR($J$180=TRUE,$J$182=TRUE)</formula>
    </cfRule>
    <cfRule type="expression" dxfId="267" priority="282">
      <formula>OR($J$183=TRUE,$J$184=TRUE,$J$185=TRUE)</formula>
    </cfRule>
  </conditionalFormatting>
  <conditionalFormatting sqref="K2">
    <cfRule type="expression" dxfId="266" priority="277">
      <formula>AND($J$2=TRUE,$K$2="")</formula>
    </cfRule>
  </conditionalFormatting>
  <conditionalFormatting sqref="K3">
    <cfRule type="expression" dxfId="265" priority="276">
      <formula>AND($J$3=TRUE,$K$3="")</formula>
    </cfRule>
  </conditionalFormatting>
  <conditionalFormatting sqref="K4">
    <cfRule type="expression" dxfId="264" priority="275">
      <formula>AND($J$4=TRUE,$K$4="")</formula>
    </cfRule>
  </conditionalFormatting>
  <conditionalFormatting sqref="K5">
    <cfRule type="expression" dxfId="263" priority="274">
      <formula>AND($J$5=TRUE,$K$5="")</formula>
    </cfRule>
  </conditionalFormatting>
  <conditionalFormatting sqref="K6">
    <cfRule type="expression" dxfId="262" priority="273">
      <formula>AND($J$6=TRUE,$K$6="")</formula>
    </cfRule>
  </conditionalFormatting>
  <conditionalFormatting sqref="K7">
    <cfRule type="expression" dxfId="261" priority="272">
      <formula>AND($J$7=TRUE,$K$7="")</formula>
    </cfRule>
  </conditionalFormatting>
  <conditionalFormatting sqref="K8">
    <cfRule type="expression" dxfId="260" priority="271">
      <formula>AND($J$8=TRUE,$K$8="")</formula>
    </cfRule>
  </conditionalFormatting>
  <conditionalFormatting sqref="K9">
    <cfRule type="expression" dxfId="259" priority="270">
      <formula>AND($J$9=TRUE,$K$9="")</formula>
    </cfRule>
  </conditionalFormatting>
  <conditionalFormatting sqref="K10">
    <cfRule type="expression" dxfId="258" priority="269">
      <formula>AND($J$10=TRUE,$K$10="")</formula>
    </cfRule>
  </conditionalFormatting>
  <conditionalFormatting sqref="K11">
    <cfRule type="expression" dxfId="257" priority="268">
      <formula>AND($J$11=TRUE,$K$11="")</formula>
    </cfRule>
  </conditionalFormatting>
  <conditionalFormatting sqref="K12">
    <cfRule type="expression" dxfId="256" priority="267">
      <formula>AND($J$12=TRUE,$K$12="")</formula>
    </cfRule>
  </conditionalFormatting>
  <conditionalFormatting sqref="K13">
    <cfRule type="expression" dxfId="255" priority="266">
      <formula>AND($J$13=TRUE,$K$13="")</formula>
    </cfRule>
  </conditionalFormatting>
  <conditionalFormatting sqref="K14">
    <cfRule type="expression" dxfId="254" priority="265">
      <formula>AND($J$14=TRUE,$K$14="")</formula>
    </cfRule>
  </conditionalFormatting>
  <conditionalFormatting sqref="K15">
    <cfRule type="expression" dxfId="253" priority="264">
      <formula>AND($J$15=TRUE,$K$15="")</formula>
    </cfRule>
  </conditionalFormatting>
  <conditionalFormatting sqref="K16">
    <cfRule type="expression" dxfId="252" priority="263">
      <formula>AND($J$16=TRUE,$K$16="")</formula>
    </cfRule>
  </conditionalFormatting>
  <conditionalFormatting sqref="K17">
    <cfRule type="expression" dxfId="251" priority="262">
      <formula>AND($J$17=TRUE,$K$17="")</formula>
    </cfRule>
  </conditionalFormatting>
  <conditionalFormatting sqref="K18">
    <cfRule type="expression" dxfId="250" priority="261">
      <formula>AND($J$18=TRUE,$K$18="")</formula>
    </cfRule>
  </conditionalFormatting>
  <conditionalFormatting sqref="K19">
    <cfRule type="expression" dxfId="249" priority="260">
      <formula>AND($J$19=TRUE,$K$19="")</formula>
    </cfRule>
  </conditionalFormatting>
  <conditionalFormatting sqref="K20">
    <cfRule type="expression" dxfId="248" priority="259">
      <formula>AND($J$20=TRUE,$K$20="")</formula>
    </cfRule>
  </conditionalFormatting>
  <conditionalFormatting sqref="K21">
    <cfRule type="expression" dxfId="247" priority="258">
      <formula>AND($J$21=TRUE,$K$21="")</formula>
    </cfRule>
  </conditionalFormatting>
  <conditionalFormatting sqref="K22">
    <cfRule type="expression" dxfId="246" priority="257">
      <formula>AND($J$22=TRUE,$K$22="")</formula>
    </cfRule>
  </conditionalFormatting>
  <conditionalFormatting sqref="K23">
    <cfRule type="expression" dxfId="245" priority="256">
      <formula>AND($J$23=TRUE,$K$23="")</formula>
    </cfRule>
  </conditionalFormatting>
  <conditionalFormatting sqref="K24">
    <cfRule type="expression" dxfId="244" priority="255">
      <formula>AND($J$24=TRUE,$K$24="")</formula>
    </cfRule>
  </conditionalFormatting>
  <conditionalFormatting sqref="K25">
    <cfRule type="expression" dxfId="243" priority="254">
      <formula>AND($J$25=TRUE,$K$25="")</formula>
    </cfRule>
  </conditionalFormatting>
  <conditionalFormatting sqref="K26">
    <cfRule type="expression" dxfId="242" priority="253">
      <formula>AND($J$26=TRUE,$K$26="")</formula>
    </cfRule>
  </conditionalFormatting>
  <conditionalFormatting sqref="K27">
    <cfRule type="expression" dxfId="241" priority="252">
      <formula>AND($J$27=TRUE,$K$27="")</formula>
    </cfRule>
  </conditionalFormatting>
  <conditionalFormatting sqref="K28">
    <cfRule type="expression" dxfId="240" priority="251">
      <formula>AND($J$28=TRUE,$K$28="")</formula>
    </cfRule>
  </conditionalFormatting>
  <conditionalFormatting sqref="K29">
    <cfRule type="expression" dxfId="239" priority="250">
      <formula>AND($J$29=TRUE,$K$29="")</formula>
    </cfRule>
  </conditionalFormatting>
  <conditionalFormatting sqref="A30:L32 A53:L58 A114:L155 A34:L37 A33:K33 A52:J52 A60:L62 A59:J59 A64:L68 A63:K63 A71:L91 A69:K70">
    <cfRule type="expression" dxfId="238" priority="249">
      <formula>OR($J$2=TRUE,$J$9=TRUE)</formula>
    </cfRule>
  </conditionalFormatting>
  <conditionalFormatting sqref="A43:L51">
    <cfRule type="expression" dxfId="237" priority="245">
      <formula>$J$38=TRUE</formula>
    </cfRule>
  </conditionalFormatting>
  <conditionalFormatting sqref="A72:L83">
    <cfRule type="expression" dxfId="236" priority="243">
      <formula>$J$71=TRUE</formula>
    </cfRule>
  </conditionalFormatting>
  <conditionalFormatting sqref="A76:L83">
    <cfRule type="expression" dxfId="235" priority="242">
      <formula>$J$72=TRUE</formula>
    </cfRule>
  </conditionalFormatting>
  <conditionalFormatting sqref="K30">
    <cfRule type="expression" dxfId="234" priority="236">
      <formula>AND($J$30=TRUE,$K$30="")</formula>
    </cfRule>
  </conditionalFormatting>
  <conditionalFormatting sqref="K31">
    <cfRule type="expression" dxfId="233" priority="235">
      <formula>AND($J$31=TRUE,$K$31="")</formula>
    </cfRule>
  </conditionalFormatting>
  <conditionalFormatting sqref="K32">
    <cfRule type="expression" dxfId="232" priority="234">
      <formula>AND($J$32=TRUE,$K$32="")</formula>
    </cfRule>
  </conditionalFormatting>
  <conditionalFormatting sqref="K33">
    <cfRule type="expression" dxfId="231" priority="233">
      <formula>AND($J$33=TRUE,$K$33="")</formula>
    </cfRule>
  </conditionalFormatting>
  <conditionalFormatting sqref="K34">
    <cfRule type="expression" dxfId="230" priority="232">
      <formula>AND($J$34=TRUE,$K$34="")</formula>
    </cfRule>
  </conditionalFormatting>
  <conditionalFormatting sqref="K35">
    <cfRule type="expression" dxfId="229" priority="231">
      <formula>AND($J$35=TRUE,$K$35="")</formula>
    </cfRule>
  </conditionalFormatting>
  <conditionalFormatting sqref="K36">
    <cfRule type="expression" dxfId="228" priority="230">
      <formula>AND($J$36=TRUE,$K$36="")</formula>
    </cfRule>
  </conditionalFormatting>
  <conditionalFormatting sqref="K37">
    <cfRule type="expression" dxfId="227" priority="229">
      <formula>AND($J$37=TRUE,$K$37="")</formula>
    </cfRule>
  </conditionalFormatting>
  <conditionalFormatting sqref="K39">
    <cfRule type="expression" dxfId="226" priority="227">
      <formula>AND($J$39=TRUE,$K$39="")</formula>
    </cfRule>
  </conditionalFormatting>
  <conditionalFormatting sqref="K40">
    <cfRule type="expression" dxfId="225" priority="226">
      <formula>AND($J$40=TRUE,$K$40="")</formula>
    </cfRule>
  </conditionalFormatting>
  <conditionalFormatting sqref="K41">
    <cfRule type="expression" dxfId="224" priority="225">
      <formula>AND($J$41=TRUE,$K$41="")</formula>
    </cfRule>
  </conditionalFormatting>
  <conditionalFormatting sqref="K42">
    <cfRule type="expression" dxfId="223" priority="224">
      <formula>AND($J$42=TRUE,$K$42="")</formula>
    </cfRule>
  </conditionalFormatting>
  <conditionalFormatting sqref="K43">
    <cfRule type="expression" dxfId="222" priority="223">
      <formula>AND($J$43=TRUE,$K$43="")</formula>
    </cfRule>
  </conditionalFormatting>
  <conditionalFormatting sqref="K44">
    <cfRule type="expression" dxfId="221" priority="222">
      <formula>AND($J$44=TRUE,$K$44="")</formula>
    </cfRule>
  </conditionalFormatting>
  <conditionalFormatting sqref="K45">
    <cfRule type="expression" dxfId="220" priority="221">
      <formula>AND($J$45=TRUE,$K$45="")</formula>
    </cfRule>
  </conditionalFormatting>
  <conditionalFormatting sqref="K46">
    <cfRule type="expression" dxfId="219" priority="220">
      <formula>AND($J$46=TRUE,$K$46="")</formula>
    </cfRule>
  </conditionalFormatting>
  <conditionalFormatting sqref="K53">
    <cfRule type="expression" dxfId="218" priority="218">
      <formula>AND($J$53=TRUE,$K$53="")</formula>
    </cfRule>
  </conditionalFormatting>
  <conditionalFormatting sqref="K54">
    <cfRule type="expression" dxfId="217" priority="217">
      <formula>AND($J$54=TRUE,$K$54="")</formula>
    </cfRule>
  </conditionalFormatting>
  <conditionalFormatting sqref="K55">
    <cfRule type="expression" dxfId="216" priority="216">
      <formula>AND($J$55=TRUE,$K$55="")</formula>
    </cfRule>
  </conditionalFormatting>
  <conditionalFormatting sqref="K56">
    <cfRule type="expression" dxfId="215" priority="215">
      <formula>AND($J$56=TRUE,$K$56="")</formula>
    </cfRule>
  </conditionalFormatting>
  <conditionalFormatting sqref="K57">
    <cfRule type="expression" dxfId="214" priority="214">
      <formula>AND($J$57=TRUE,$K$57="")</formula>
    </cfRule>
  </conditionalFormatting>
  <conditionalFormatting sqref="K58">
    <cfRule type="expression" dxfId="213" priority="213">
      <formula>AND($J$58=TRUE,$K$58="")</formula>
    </cfRule>
  </conditionalFormatting>
  <conditionalFormatting sqref="K60">
    <cfRule type="expression" dxfId="212" priority="211">
      <formula>AND($J$60=TRUE,$K$60="")</formula>
    </cfRule>
  </conditionalFormatting>
  <conditionalFormatting sqref="K61">
    <cfRule type="expression" dxfId="211" priority="210">
      <formula>AND($J$61=TRUE,$K$61="")</formula>
    </cfRule>
  </conditionalFormatting>
  <conditionalFormatting sqref="K62">
    <cfRule type="expression" dxfId="210" priority="209">
      <formula>AND($J$62=TRUE,$K$62="")</formula>
    </cfRule>
  </conditionalFormatting>
  <conditionalFormatting sqref="K63">
    <cfRule type="expression" dxfId="209" priority="208">
      <formula>AND($J$63=TRUE,$K$63="")</formula>
    </cfRule>
  </conditionalFormatting>
  <conditionalFormatting sqref="K64">
    <cfRule type="expression" dxfId="208" priority="207">
      <formula>AND($J$64=TRUE,$K$64="")</formula>
    </cfRule>
  </conditionalFormatting>
  <conditionalFormatting sqref="K65">
    <cfRule type="expression" dxfId="207" priority="206">
      <formula>AND($J$65=TRUE,$K$65="")</formula>
    </cfRule>
  </conditionalFormatting>
  <conditionalFormatting sqref="K66">
    <cfRule type="expression" dxfId="206" priority="205">
      <formula>AND($J$66=TRUE,$K$66="")</formula>
    </cfRule>
  </conditionalFormatting>
  <conditionalFormatting sqref="K67">
    <cfRule type="expression" dxfId="205" priority="204">
      <formula>AND($J$67=TRUE,$K$67="")</formula>
    </cfRule>
  </conditionalFormatting>
  <conditionalFormatting sqref="K68">
    <cfRule type="expression" dxfId="204" priority="203">
      <formula>AND($J$68=TRUE,$K$68="")</formula>
    </cfRule>
  </conditionalFormatting>
  <conditionalFormatting sqref="K69">
    <cfRule type="expression" dxfId="203" priority="202">
      <formula>AND($J$69=TRUE,$K$69="")</formula>
    </cfRule>
  </conditionalFormatting>
  <conditionalFormatting sqref="K70">
    <cfRule type="expression" dxfId="202" priority="201">
      <formula>AND($J$70=TRUE,$K$70="")</formula>
    </cfRule>
  </conditionalFormatting>
  <conditionalFormatting sqref="K71">
    <cfRule type="expression" dxfId="201" priority="200">
      <formula>AND($J$71=TRUE,$K$71="")</formula>
    </cfRule>
  </conditionalFormatting>
  <conditionalFormatting sqref="K72">
    <cfRule type="expression" dxfId="200" priority="199">
      <formula>AND($J$72=TRUE,$K$72="")</formula>
    </cfRule>
  </conditionalFormatting>
  <conditionalFormatting sqref="K73">
    <cfRule type="expression" dxfId="199" priority="198">
      <formula>AND($J$73=TRUE,$K$73="")</formula>
    </cfRule>
  </conditionalFormatting>
  <conditionalFormatting sqref="K74">
    <cfRule type="expression" dxfId="198" priority="197">
      <formula>AND($J$74=TRUE,$K$74="")</formula>
    </cfRule>
  </conditionalFormatting>
  <conditionalFormatting sqref="K75">
    <cfRule type="expression" dxfId="197" priority="196">
      <formula>AND($J$75=TRUE,$K$75="")</formula>
    </cfRule>
  </conditionalFormatting>
  <conditionalFormatting sqref="K76">
    <cfRule type="expression" dxfId="196" priority="195">
      <formula>AND($J$76=TRUE,$K$76="")</formula>
    </cfRule>
  </conditionalFormatting>
  <conditionalFormatting sqref="K77">
    <cfRule type="expression" dxfId="195" priority="194">
      <formula>AND($J$77=TRUE,$K$77="")</formula>
    </cfRule>
  </conditionalFormatting>
  <conditionalFormatting sqref="K78">
    <cfRule type="expression" dxfId="194" priority="193">
      <formula>AND($J$78=TRUE,$K$78="")</formula>
    </cfRule>
  </conditionalFormatting>
  <conditionalFormatting sqref="K79">
    <cfRule type="expression" dxfId="193" priority="192">
      <formula>AND($J$79=TRUE,$K$79="")</formula>
    </cfRule>
  </conditionalFormatting>
  <conditionalFormatting sqref="K80">
    <cfRule type="expression" dxfId="192" priority="191">
      <formula>AND($J$80=TRUE,$K$80="")</formula>
    </cfRule>
  </conditionalFormatting>
  <conditionalFormatting sqref="K81">
    <cfRule type="expression" dxfId="191" priority="190">
      <formula>AND($J$81=TRUE,$K$81="")</formula>
    </cfRule>
  </conditionalFormatting>
  <conditionalFormatting sqref="K82">
    <cfRule type="expression" dxfId="190" priority="189">
      <formula>AND($J$82=TRUE,$K$82="")</formula>
    </cfRule>
  </conditionalFormatting>
  <conditionalFormatting sqref="K83">
    <cfRule type="expression" dxfId="189" priority="188">
      <formula>AND($J$83=TRUE,$K$83="")</formula>
    </cfRule>
  </conditionalFormatting>
  <conditionalFormatting sqref="K84">
    <cfRule type="expression" dxfId="188" priority="187">
      <formula>AND($J$84=TRUE,$K$84="")</formula>
    </cfRule>
  </conditionalFormatting>
  <conditionalFormatting sqref="K85">
    <cfRule type="expression" dxfId="187" priority="186">
      <formula>AND($J$85=TRUE,$K$85="")</formula>
    </cfRule>
  </conditionalFormatting>
  <conditionalFormatting sqref="K86">
    <cfRule type="expression" dxfId="186" priority="185">
      <formula>AND($J$86=TRUE,$K$86="")</formula>
    </cfRule>
  </conditionalFormatting>
  <conditionalFormatting sqref="K87">
    <cfRule type="expression" dxfId="185" priority="184">
      <formula>AND($J$87=TRUE,$K$87="")</formula>
    </cfRule>
  </conditionalFormatting>
  <conditionalFormatting sqref="K88">
    <cfRule type="expression" dxfId="184" priority="183">
      <formula>AND($J$88=TRUE,$K$88="")</formula>
    </cfRule>
  </conditionalFormatting>
  <conditionalFormatting sqref="K89">
    <cfRule type="expression" dxfId="183" priority="182">
      <formula>AND($J$89=TRUE,$K$89="")</formula>
    </cfRule>
  </conditionalFormatting>
  <conditionalFormatting sqref="K90">
    <cfRule type="expression" dxfId="182" priority="181">
      <formula>AND($J$90=TRUE,$K$90="")</formula>
    </cfRule>
  </conditionalFormatting>
  <conditionalFormatting sqref="K92">
    <cfRule type="expression" dxfId="181" priority="177">
      <formula>AND($J$92=TRUE,$K$92="")</formula>
    </cfRule>
  </conditionalFormatting>
  <conditionalFormatting sqref="K93">
    <cfRule type="expression" dxfId="180" priority="176">
      <formula>AND($J$93=TRUE,$K$93="")</formula>
    </cfRule>
  </conditionalFormatting>
  <conditionalFormatting sqref="K94">
    <cfRule type="expression" dxfId="179" priority="175">
      <formula>AND($J$94=TRUE,$K$94="")</formula>
    </cfRule>
  </conditionalFormatting>
  <conditionalFormatting sqref="K95">
    <cfRule type="expression" dxfId="178" priority="174">
      <formula>AND($J$95=TRUE,$K$95="")</formula>
    </cfRule>
  </conditionalFormatting>
  <conditionalFormatting sqref="K96">
    <cfRule type="expression" dxfId="177" priority="173">
      <formula>AND($J$96=TRUE,$K$96="")</formula>
    </cfRule>
  </conditionalFormatting>
  <conditionalFormatting sqref="K97">
    <cfRule type="expression" dxfId="176" priority="172">
      <formula>AND($J$97=TRUE,$K$97="")</formula>
    </cfRule>
  </conditionalFormatting>
  <conditionalFormatting sqref="K98">
    <cfRule type="expression" dxfId="175" priority="171">
      <formula>AND($J$98=TRUE,$K$98="")</formula>
    </cfRule>
  </conditionalFormatting>
  <conditionalFormatting sqref="K99">
    <cfRule type="expression" dxfId="174" priority="170">
      <formula>AND($J$99=TRUE,$K$99="")</formula>
    </cfRule>
  </conditionalFormatting>
  <conditionalFormatting sqref="K100">
    <cfRule type="expression" dxfId="173" priority="169">
      <formula>AND($J$100=TRUE,$K$100="")</formula>
    </cfRule>
  </conditionalFormatting>
  <conditionalFormatting sqref="K101">
    <cfRule type="expression" dxfId="172" priority="168">
      <formula>AND($J$101=TRUE,$K$101="")</formula>
    </cfRule>
  </conditionalFormatting>
  <conditionalFormatting sqref="K102">
    <cfRule type="expression" dxfId="171" priority="167">
      <formula>AND($J$102=TRUE,$K$102="")</formula>
    </cfRule>
  </conditionalFormatting>
  <conditionalFormatting sqref="K103">
    <cfRule type="expression" dxfId="170" priority="166">
      <formula>AND($J$103=TRUE,$K$103="")</formula>
    </cfRule>
  </conditionalFormatting>
  <conditionalFormatting sqref="K104">
    <cfRule type="expression" dxfId="169" priority="165">
      <formula>AND($J$104=TRUE,$K$104="")</formula>
    </cfRule>
  </conditionalFormatting>
  <conditionalFormatting sqref="K105">
    <cfRule type="expression" dxfId="168" priority="164">
      <formula>AND($J$105=TRUE,$K$105="")</formula>
    </cfRule>
  </conditionalFormatting>
  <conditionalFormatting sqref="K106">
    <cfRule type="expression" dxfId="167" priority="163">
      <formula>AND($J$106=TRUE,$K$106="")</formula>
    </cfRule>
  </conditionalFormatting>
  <conditionalFormatting sqref="K107">
    <cfRule type="expression" dxfId="166" priority="162">
      <formula>AND($J$107=TRUE,$K$107="")</formula>
    </cfRule>
  </conditionalFormatting>
  <conditionalFormatting sqref="K108">
    <cfRule type="expression" dxfId="165" priority="161">
      <formula>AND($J$108=TRUE,$K$108="")</formula>
    </cfRule>
  </conditionalFormatting>
  <conditionalFormatting sqref="K109">
    <cfRule type="expression" dxfId="164" priority="160">
      <formula>AND($J$109=TRUE,$K$109="")</formula>
    </cfRule>
  </conditionalFormatting>
  <conditionalFormatting sqref="K110">
    <cfRule type="expression" dxfId="163" priority="159">
      <formula>AND($J$110=TRUE,$K$110="")</formula>
    </cfRule>
  </conditionalFormatting>
  <conditionalFormatting sqref="K111">
    <cfRule type="expression" dxfId="162" priority="158">
      <formula>AND($J$111=TRUE,$K$111="")</formula>
    </cfRule>
  </conditionalFormatting>
  <conditionalFormatting sqref="K112">
    <cfRule type="expression" dxfId="161" priority="157">
      <formula>AND($J$112=TRUE,$K$112="")</formula>
    </cfRule>
  </conditionalFormatting>
  <conditionalFormatting sqref="K114">
    <cfRule type="expression" dxfId="160" priority="156">
      <formula>AND($J$114=TRUE,$K$114="")</formula>
    </cfRule>
  </conditionalFormatting>
  <conditionalFormatting sqref="K115">
    <cfRule type="expression" dxfId="159" priority="155">
      <formula>AND($J$115=TRUE,$K$115="")</formula>
    </cfRule>
  </conditionalFormatting>
  <conditionalFormatting sqref="K116">
    <cfRule type="expression" dxfId="158" priority="154">
      <formula>AND($J$116=TRUE,$K$116="")</formula>
    </cfRule>
  </conditionalFormatting>
  <conditionalFormatting sqref="K117">
    <cfRule type="expression" dxfId="157" priority="153">
      <formula>AND($J$117=TRUE,$K$117="")</formula>
    </cfRule>
  </conditionalFormatting>
  <conditionalFormatting sqref="K118">
    <cfRule type="expression" dxfId="156" priority="152">
      <formula>AND($J$118=TRUE,$K$118="")</formula>
    </cfRule>
  </conditionalFormatting>
  <conditionalFormatting sqref="K119">
    <cfRule type="expression" dxfId="155" priority="151">
      <formula>AND($J$119=TRUE,$K$119="")</formula>
    </cfRule>
  </conditionalFormatting>
  <conditionalFormatting sqref="K120">
    <cfRule type="expression" dxfId="154" priority="149">
      <formula>AND($J$120=TRUE,$K$120="")</formula>
    </cfRule>
    <cfRule type="expression" dxfId="153" priority="150">
      <formula>AND($J$120=TRUE,$K$120="")</formula>
    </cfRule>
  </conditionalFormatting>
  <conditionalFormatting sqref="K121">
    <cfRule type="expression" dxfId="152" priority="148">
      <formula>AND($J$121=TRUE,$K$121="")</formula>
    </cfRule>
  </conditionalFormatting>
  <conditionalFormatting sqref="K122">
    <cfRule type="expression" dxfId="151" priority="147">
      <formula>AND($J$122=TRUE,$K$122="")</formula>
    </cfRule>
  </conditionalFormatting>
  <conditionalFormatting sqref="K123">
    <cfRule type="expression" dxfId="150" priority="146">
      <formula>AND($J$123=TRUE,$K$123="")</formula>
    </cfRule>
  </conditionalFormatting>
  <conditionalFormatting sqref="K124">
    <cfRule type="expression" dxfId="149" priority="145">
      <formula>AND($J$124=TRUE,$K$124="")</formula>
    </cfRule>
  </conditionalFormatting>
  <conditionalFormatting sqref="K125">
    <cfRule type="expression" dxfId="148" priority="144">
      <formula>AND($J$125=TRUE,$K$125="")</formula>
    </cfRule>
  </conditionalFormatting>
  <conditionalFormatting sqref="K126">
    <cfRule type="expression" dxfId="147" priority="143">
      <formula>AND($J$126=TRUE,$K$126="")</formula>
    </cfRule>
  </conditionalFormatting>
  <conditionalFormatting sqref="K127">
    <cfRule type="expression" dxfId="146" priority="142">
      <formula>AND($J$127=TRUE,$K$127="")</formula>
    </cfRule>
  </conditionalFormatting>
  <conditionalFormatting sqref="K128">
    <cfRule type="expression" dxfId="145" priority="141">
      <formula>AND($J$128=TRUE,$K$128="")</formula>
    </cfRule>
  </conditionalFormatting>
  <conditionalFormatting sqref="K129">
    <cfRule type="expression" dxfId="144" priority="140">
      <formula>AND($J$129=TRUE,$K$129="")</formula>
    </cfRule>
  </conditionalFormatting>
  <conditionalFormatting sqref="K130">
    <cfRule type="expression" dxfId="143" priority="139">
      <formula>AND($J$130=TRUE,$K$130="")</formula>
    </cfRule>
  </conditionalFormatting>
  <conditionalFormatting sqref="K131">
    <cfRule type="expression" dxfId="142" priority="138">
      <formula>AND($J$131=TRUE,$K$131="")</formula>
    </cfRule>
  </conditionalFormatting>
  <conditionalFormatting sqref="K132">
    <cfRule type="expression" dxfId="141" priority="137">
      <formula>AND($J$132=TRUE,$K$132="")</formula>
    </cfRule>
  </conditionalFormatting>
  <conditionalFormatting sqref="K133">
    <cfRule type="expression" dxfId="140" priority="136">
      <formula>AND($J$133=TRUE,$K$133="")</formula>
    </cfRule>
  </conditionalFormatting>
  <conditionalFormatting sqref="K134">
    <cfRule type="expression" dxfId="139" priority="135">
      <formula>AND($J$134=TRUE,$K$134="")</formula>
    </cfRule>
  </conditionalFormatting>
  <conditionalFormatting sqref="K135">
    <cfRule type="expression" dxfId="138" priority="134">
      <formula>AND($J$135=TRUE,$K$135="")</formula>
    </cfRule>
  </conditionalFormatting>
  <conditionalFormatting sqref="K136">
    <cfRule type="expression" dxfId="137" priority="132">
      <formula>AND($J$136=TRUE,$K$136="")</formula>
    </cfRule>
  </conditionalFormatting>
  <conditionalFormatting sqref="K137">
    <cfRule type="expression" dxfId="136" priority="131">
      <formula>AND($J$137=TRUE,$K$137="")</formula>
    </cfRule>
  </conditionalFormatting>
  <conditionalFormatting sqref="K138">
    <cfRule type="expression" dxfId="135" priority="130">
      <formula>AND($J$138=TRUE,$K$138="")</formula>
    </cfRule>
  </conditionalFormatting>
  <conditionalFormatting sqref="K140">
    <cfRule type="expression" dxfId="134" priority="129">
      <formula>AND($J$140=TRUE,$K$140="")</formula>
    </cfRule>
  </conditionalFormatting>
  <conditionalFormatting sqref="K141">
    <cfRule type="expression" dxfId="133" priority="128">
      <formula>AND($J$141=TRUE,$K$141="")</formula>
    </cfRule>
  </conditionalFormatting>
  <conditionalFormatting sqref="K142">
    <cfRule type="expression" dxfId="132" priority="127">
      <formula>AND($J$142=TRUE,$K$142="")</formula>
    </cfRule>
  </conditionalFormatting>
  <conditionalFormatting sqref="K143">
    <cfRule type="expression" dxfId="131" priority="126">
      <formula>AND($J$143=TRUE,$K$143="")</formula>
    </cfRule>
  </conditionalFormatting>
  <conditionalFormatting sqref="K144">
    <cfRule type="expression" dxfId="130" priority="125">
      <formula>AND($J$144=TRUE,$K$144="")</formula>
    </cfRule>
  </conditionalFormatting>
  <conditionalFormatting sqref="K145">
    <cfRule type="expression" dxfId="129" priority="122">
      <formula>AND($J$145=TRUE,$K$145="")</formula>
    </cfRule>
  </conditionalFormatting>
  <conditionalFormatting sqref="K146">
    <cfRule type="expression" dxfId="128" priority="121">
      <formula>AND($J$146=TRUE,$K$146="")</formula>
    </cfRule>
  </conditionalFormatting>
  <conditionalFormatting sqref="K147">
    <cfRule type="expression" dxfId="127" priority="120">
      <formula>AND($J$147=TRUE,$K$147="")</formula>
    </cfRule>
  </conditionalFormatting>
  <conditionalFormatting sqref="K148">
    <cfRule type="expression" dxfId="126" priority="119">
      <formula>AND($J$148=TRUE,$K$148="")</formula>
    </cfRule>
  </conditionalFormatting>
  <conditionalFormatting sqref="K149">
    <cfRule type="expression" dxfId="125" priority="118">
      <formula>AND($J$149=TRUE,$K$149="")</formula>
    </cfRule>
  </conditionalFormatting>
  <conditionalFormatting sqref="K150">
    <cfRule type="expression" dxfId="124" priority="117">
      <formula>AND($J$150=TRUE,$K$150="")</formula>
    </cfRule>
  </conditionalFormatting>
  <conditionalFormatting sqref="K151">
    <cfRule type="expression" dxfId="123" priority="116">
      <formula>AND($J$151=TRUE,$K$151="")</formula>
    </cfRule>
  </conditionalFormatting>
  <conditionalFormatting sqref="K152">
    <cfRule type="expression" dxfId="122" priority="115">
      <formula>AND($J$152=TRUE,$K$152="")</formula>
    </cfRule>
  </conditionalFormatting>
  <conditionalFormatting sqref="K153">
    <cfRule type="expression" dxfId="121" priority="114">
      <formula>AND($J$153=TRUE,$K$153="")</formula>
    </cfRule>
  </conditionalFormatting>
  <conditionalFormatting sqref="K154">
    <cfRule type="expression" dxfId="120" priority="113">
      <formula>AND($J$154=TRUE,$K$154="")</formula>
    </cfRule>
  </conditionalFormatting>
  <conditionalFormatting sqref="K156">
    <cfRule type="expression" dxfId="119" priority="112">
      <formula>AND($J$156=TRUE,$K$156="")</formula>
    </cfRule>
  </conditionalFormatting>
  <conditionalFormatting sqref="K157">
    <cfRule type="expression" dxfId="118" priority="111">
      <formula>AND($J$157=TRUE,$K$157="")</formula>
    </cfRule>
  </conditionalFormatting>
  <conditionalFormatting sqref="K158">
    <cfRule type="expression" dxfId="117" priority="110">
      <formula>AND($J$158=TRUE,$K$158="")</formula>
    </cfRule>
  </conditionalFormatting>
  <conditionalFormatting sqref="K159">
    <cfRule type="expression" dxfId="116" priority="109">
      <formula>AND($J$159=TRUE,$K$159="")</formula>
    </cfRule>
  </conditionalFormatting>
  <conditionalFormatting sqref="K160">
    <cfRule type="expression" dxfId="115" priority="108">
      <formula>AND($J$160=TRUE,$K$160="")</formula>
    </cfRule>
  </conditionalFormatting>
  <conditionalFormatting sqref="K164">
    <cfRule type="expression" dxfId="114" priority="107">
      <formula>AND($J$164=TRUE,$K$164="")</formula>
    </cfRule>
  </conditionalFormatting>
  <conditionalFormatting sqref="K165">
    <cfRule type="expression" dxfId="113" priority="106">
      <formula>AND($J$165=TRUE,$K$165="")</formula>
    </cfRule>
  </conditionalFormatting>
  <conditionalFormatting sqref="K166">
    <cfRule type="expression" dxfId="112" priority="105">
      <formula>AND($J$166=TRUE,$K$166="")</formula>
    </cfRule>
  </conditionalFormatting>
  <conditionalFormatting sqref="K167">
    <cfRule type="expression" dxfId="111" priority="104">
      <formula>AND($J$167=TRUE,$K$167="")</formula>
    </cfRule>
  </conditionalFormatting>
  <conditionalFormatting sqref="K168">
    <cfRule type="expression" dxfId="110" priority="103">
      <formula>AND($J$168=TRUE,$K$168="")</formula>
    </cfRule>
  </conditionalFormatting>
  <conditionalFormatting sqref="K172">
    <cfRule type="expression" dxfId="109" priority="102">
      <formula>AND($J$172=TRUE,$K$172="")</formula>
    </cfRule>
  </conditionalFormatting>
  <conditionalFormatting sqref="K173">
    <cfRule type="expression" dxfId="108" priority="101">
      <formula>AND($J$173=TRUE,$K$173="")</formula>
    </cfRule>
  </conditionalFormatting>
  <conditionalFormatting sqref="K174">
    <cfRule type="expression" dxfId="107" priority="100">
      <formula>AND($J$174=TRUE,$K$174="")</formula>
    </cfRule>
  </conditionalFormatting>
  <conditionalFormatting sqref="K175">
    <cfRule type="expression" dxfId="106" priority="99">
      <formula>AND($J$175=TRUE,$K$175="")</formula>
    </cfRule>
  </conditionalFormatting>
  <conditionalFormatting sqref="K176">
    <cfRule type="expression" dxfId="105" priority="98">
      <formula>AND($J$176=TRUE,$K$176="")</formula>
    </cfRule>
  </conditionalFormatting>
  <conditionalFormatting sqref="K177">
    <cfRule type="expression" dxfId="104" priority="97">
      <formula>AND($J$177=TRUE,$K$177="")</formula>
    </cfRule>
  </conditionalFormatting>
  <conditionalFormatting sqref="K178">
    <cfRule type="expression" dxfId="103" priority="96">
      <formula>AND($J$178=TRUE,$K$178="")</formula>
    </cfRule>
  </conditionalFormatting>
  <conditionalFormatting sqref="K179">
    <cfRule type="expression" dxfId="102" priority="95">
      <formula>AND($J$179=TRUE,$K$179="")</formula>
    </cfRule>
  </conditionalFormatting>
  <conditionalFormatting sqref="K180">
    <cfRule type="expression" dxfId="101" priority="94">
      <formula>AND($J$180=TRUE,$K$180="")</formula>
    </cfRule>
  </conditionalFormatting>
  <conditionalFormatting sqref="K181">
    <cfRule type="expression" dxfId="100" priority="93">
      <formula>AND($J$181=TRUE,$K$181="")</formula>
    </cfRule>
  </conditionalFormatting>
  <conditionalFormatting sqref="K182">
    <cfRule type="expression" dxfId="99" priority="92">
      <formula>AND($J$182=TRUE,$K$182="")</formula>
    </cfRule>
  </conditionalFormatting>
  <conditionalFormatting sqref="K183">
    <cfRule type="expression" dxfId="98" priority="91">
      <formula>AND($J$183=TRUE,$K$183="")</formula>
    </cfRule>
  </conditionalFormatting>
  <conditionalFormatting sqref="K184">
    <cfRule type="expression" dxfId="97" priority="90">
      <formula>AND($J$184=TRUE,$K$184="")</formula>
    </cfRule>
  </conditionalFormatting>
  <conditionalFormatting sqref="K185">
    <cfRule type="expression" dxfId="96" priority="89">
      <formula>AND($J$185=TRUE,$K$185="")</formula>
    </cfRule>
  </conditionalFormatting>
  <conditionalFormatting sqref="K47">
    <cfRule type="expression" dxfId="95" priority="78">
      <formula>AND($J$47&lt;&gt;"",$K$47="")</formula>
    </cfRule>
  </conditionalFormatting>
  <conditionalFormatting sqref="K48">
    <cfRule type="expression" dxfId="94" priority="77">
      <formula>AND($J$48&lt;&gt;"",$K$48="")</formula>
    </cfRule>
  </conditionalFormatting>
  <conditionalFormatting sqref="K49">
    <cfRule type="expression" dxfId="93" priority="75">
      <formula>AND($J$49&lt;&gt;"",$K$49="")</formula>
    </cfRule>
    <cfRule type="expression" dxfId="92" priority="76">
      <formula>AND($J$49&lt;&gt;"",$K$49="")</formula>
    </cfRule>
  </conditionalFormatting>
  <conditionalFormatting sqref="K50">
    <cfRule type="expression" dxfId="91" priority="74">
      <formula>AND($J$50&lt;&gt;"",$K$50="")</formula>
    </cfRule>
  </conditionalFormatting>
  <conditionalFormatting sqref="K51">
    <cfRule type="expression" dxfId="90" priority="73">
      <formula>AND($J$51&lt;&gt;"",$K$51="")</formula>
    </cfRule>
  </conditionalFormatting>
  <conditionalFormatting sqref="K91">
    <cfRule type="expression" dxfId="89" priority="72">
      <formula>AND($J$91&lt;&gt;"",$K$91="")</formula>
    </cfRule>
  </conditionalFormatting>
  <conditionalFormatting sqref="K113">
    <cfRule type="expression" dxfId="88" priority="71">
      <formula>AND($J$113&lt;&gt;"",$K$113="")</formula>
    </cfRule>
  </conditionalFormatting>
  <conditionalFormatting sqref="K139">
    <cfRule type="expression" dxfId="87" priority="69">
      <formula>AND($J$139&lt;&gt;"",$K$139="")</formula>
    </cfRule>
    <cfRule type="expression" dxfId="86" priority="70">
      <formula>AND($J$139&lt;&gt;"",$K$139="")</formula>
    </cfRule>
  </conditionalFormatting>
  <conditionalFormatting sqref="K155">
    <cfRule type="expression" dxfId="85" priority="68">
      <formula>AND($J$155&lt;&gt;"",$K$155="")</formula>
    </cfRule>
  </conditionalFormatting>
  <conditionalFormatting sqref="K161">
    <cfRule type="expression" dxfId="84" priority="66">
      <formula>AND($J$161&lt;&gt;"",$K$161="")</formula>
    </cfRule>
    <cfRule type="expression" dxfId="83" priority="67">
      <formula>AND($J$161&lt;&gt;"",$K$161="")</formula>
    </cfRule>
  </conditionalFormatting>
  <conditionalFormatting sqref="K162">
    <cfRule type="expression" dxfId="82" priority="65">
      <formula>AND($J$162&lt;&gt;"",$K$162="")</formula>
    </cfRule>
  </conditionalFormatting>
  <conditionalFormatting sqref="K163">
    <cfRule type="expression" dxfId="81" priority="64">
      <formula>AND($J$163&lt;&gt;"",$K$163="")</formula>
    </cfRule>
  </conditionalFormatting>
  <conditionalFormatting sqref="K169">
    <cfRule type="expression" dxfId="80" priority="62">
      <formula>AND($J$169&lt;&gt;"",$K$169="")</formula>
    </cfRule>
  </conditionalFormatting>
  <conditionalFormatting sqref="K170">
    <cfRule type="expression" dxfId="79" priority="61">
      <formula>AND($J$170&lt;&gt;"",$K$170="")</formula>
    </cfRule>
  </conditionalFormatting>
  <conditionalFormatting sqref="K171">
    <cfRule type="expression" dxfId="78" priority="60">
      <formula>AND($J$171&lt;&gt;"",$K$171="")</formula>
    </cfRule>
  </conditionalFormatting>
  <conditionalFormatting sqref="A161:L163">
    <cfRule type="expression" dxfId="77" priority="59">
      <formula>$J$160=TRUE</formula>
    </cfRule>
  </conditionalFormatting>
  <conditionalFormatting sqref="A169:L171">
    <cfRule type="expression" dxfId="76" priority="58">
      <formula>$J$168=TRUE</formula>
    </cfRule>
  </conditionalFormatting>
  <conditionalFormatting sqref="A198:L198">
    <cfRule type="expression" dxfId="75" priority="47">
      <formula>$J$198&lt;&gt;""</formula>
    </cfRule>
  </conditionalFormatting>
  <conditionalFormatting sqref="A197:L197">
    <cfRule type="expression" dxfId="74" priority="29">
      <formula>OR($J$192=TRUE,$J$193=TRUE,$J$194=TRUE,$J$196=TRUE)</formula>
    </cfRule>
    <cfRule type="expression" dxfId="73" priority="46">
      <formula>$J$197&lt;&gt;""</formula>
    </cfRule>
  </conditionalFormatting>
  <conditionalFormatting sqref="K197">
    <cfRule type="expression" dxfId="72" priority="45">
      <formula>AND($J$197&lt;&gt;"",$K$197="")</formula>
    </cfRule>
  </conditionalFormatting>
  <conditionalFormatting sqref="A192:L196">
    <cfRule type="expression" dxfId="71" priority="44">
      <formula>OR($J$192=TRUE,$J$193=TRUE,$J$194=TRUE,$J$195=TRUE,$J$196=TRUE)</formula>
    </cfRule>
  </conditionalFormatting>
  <conditionalFormatting sqref="A191:L191">
    <cfRule type="expression" dxfId="70" priority="30">
      <formula>OR($J$186=TRUE,$J$187=TRUE,$J$188=TRUE,$J$190=TRUE)</formula>
    </cfRule>
    <cfRule type="expression" dxfId="69" priority="43">
      <formula>$J$191&lt;&gt;""</formula>
    </cfRule>
  </conditionalFormatting>
  <conditionalFormatting sqref="A186:L190">
    <cfRule type="expression" dxfId="68" priority="42">
      <formula>OR($J$186=TRUE,$J$187=TRUE,$J$188=TRUE,$J$189=TRUE,$J$190=TRUE)</formula>
    </cfRule>
  </conditionalFormatting>
  <conditionalFormatting sqref="K186">
    <cfRule type="expression" dxfId="67" priority="41">
      <formula>AND($J$186=TRUE,$K$186="")</formula>
    </cfRule>
  </conditionalFormatting>
  <conditionalFormatting sqref="K187">
    <cfRule type="expression" dxfId="66" priority="40">
      <formula>AND($J$187=TRUE,$K$187="")</formula>
    </cfRule>
  </conditionalFormatting>
  <conditionalFormatting sqref="K188">
    <cfRule type="expression" dxfId="65" priority="39">
      <formula>AND($J$188=TRUE,$K$188="")</formula>
    </cfRule>
  </conditionalFormatting>
  <conditionalFormatting sqref="K189">
    <cfRule type="expression" dxfId="64" priority="38">
      <formula>AND($J$189=TRUE,$K$189="")</formula>
    </cfRule>
  </conditionalFormatting>
  <conditionalFormatting sqref="K190">
    <cfRule type="expression" dxfId="63" priority="37">
      <formula>AND($J$190=TRUE,$K$190="")</formula>
    </cfRule>
  </conditionalFormatting>
  <conditionalFormatting sqref="K191">
    <cfRule type="expression" dxfId="62" priority="36">
      <formula>AND($J$191&lt;&gt;"",$K$191="")</formula>
    </cfRule>
  </conditionalFormatting>
  <conditionalFormatting sqref="K192">
    <cfRule type="expression" dxfId="61" priority="35">
      <formula>AND($J$192=TRUE,$K$192="")</formula>
    </cfRule>
  </conditionalFormatting>
  <conditionalFormatting sqref="K193">
    <cfRule type="expression" dxfId="60" priority="34">
      <formula>AND($J$193=TRUE,$K$193="")</formula>
    </cfRule>
  </conditionalFormatting>
  <conditionalFormatting sqref="K194">
    <cfRule type="expression" dxfId="59" priority="33">
      <formula>AND($J$194=TRUE,$K$194="")</formula>
    </cfRule>
  </conditionalFormatting>
  <conditionalFormatting sqref="K195">
    <cfRule type="expression" dxfId="58" priority="32">
      <formula>AND($J$195=TRUE,$K$195="")</formula>
    </cfRule>
  </conditionalFormatting>
  <conditionalFormatting sqref="K196">
    <cfRule type="expression" dxfId="57" priority="31">
      <formula>AND($J$196=TRUE,$K$196="")</formula>
    </cfRule>
  </conditionalFormatting>
  <conditionalFormatting sqref="L13">
    <cfRule type="expression" dxfId="56" priority="28">
      <formula>OR($J$10=TRUE,$J$11=TRUE,$J$12=TRUE,$J$13=TRUE,$J$14=TRUE)</formula>
    </cfRule>
  </conditionalFormatting>
  <conditionalFormatting sqref="L18">
    <cfRule type="expression" dxfId="55" priority="27">
      <formula>OR($J$15=TRUE,$J$16=TRUE,$J$17=TRUE,$J$18=TRUE,$J$19=TRUE)</formula>
    </cfRule>
  </conditionalFormatting>
  <conditionalFormatting sqref="L23">
    <cfRule type="expression" dxfId="54" priority="25">
      <formula>OR($J$10=TRUE,$J$14=TRUE)</formula>
    </cfRule>
    <cfRule type="expression" dxfId="53" priority="26">
      <formula>OR($J$20=TRUE,$J$21=TRUE,$J$22=TRUE,$J$23=TRUE,$J$24=TRUE)</formula>
    </cfRule>
  </conditionalFormatting>
  <conditionalFormatting sqref="L28">
    <cfRule type="expression" dxfId="52" priority="23">
      <formula>OR($J$15=TRUE,$J$19=TRUE)</formula>
    </cfRule>
    <cfRule type="expression" dxfId="51" priority="24">
      <formula>OR($J$25=TRUE,$J$26=TRUE,$J$27=TRUE,$J$28=TRUE,$J$29=TRUE)</formula>
    </cfRule>
  </conditionalFormatting>
  <conditionalFormatting sqref="L33">
    <cfRule type="expression" dxfId="50" priority="22">
      <formula>OR($J$30=TRUE,$J$31=TRUE,$J$32=TRUE,$J$33=TRUE)</formula>
    </cfRule>
  </conditionalFormatting>
  <conditionalFormatting sqref="L33">
    <cfRule type="expression" dxfId="49" priority="21">
      <formula>OR($J$2=TRUE,$J$9=TRUE)</formula>
    </cfRule>
  </conditionalFormatting>
  <conditionalFormatting sqref="L38">
    <cfRule type="expression" dxfId="48" priority="20">
      <formula>OR($J$38=TRUE,$J$39=TRUE,$J$40=TRUE,$J$41=TRUE,$J$42=TRUE)</formula>
    </cfRule>
  </conditionalFormatting>
  <conditionalFormatting sqref="K38">
    <cfRule type="expression" dxfId="47" priority="19">
      <formula>OR($J$38=TRUE,$J$39=TRUE,$J$40=TRUE,$J$41=TRUE,$J$42=TRUE)</formula>
    </cfRule>
  </conditionalFormatting>
  <conditionalFormatting sqref="K38">
    <cfRule type="expression" dxfId="46" priority="18">
      <formula>AND($J$38=TRUE,$K$38="")</formula>
    </cfRule>
  </conditionalFormatting>
  <conditionalFormatting sqref="K52">
    <cfRule type="expression" dxfId="45" priority="17">
      <formula>OR($J$52=TRUE,$J$53=TRUE,$J$54=TRUE)</formula>
    </cfRule>
  </conditionalFormatting>
  <conditionalFormatting sqref="K52">
    <cfRule type="expression" dxfId="44" priority="16">
      <formula>OR($J$2=TRUE,$J$9=TRUE)</formula>
    </cfRule>
  </conditionalFormatting>
  <conditionalFormatting sqref="K52">
    <cfRule type="expression" dxfId="43" priority="15">
      <formula>AND($J$52=TRUE,$K$52="")</formula>
    </cfRule>
  </conditionalFormatting>
  <conditionalFormatting sqref="L52">
    <cfRule type="expression" dxfId="42" priority="14">
      <formula>OR($J$52=TRUE,$J$53=TRUE,$J$54=TRUE)</formula>
    </cfRule>
  </conditionalFormatting>
  <conditionalFormatting sqref="L52">
    <cfRule type="expression" dxfId="41" priority="13">
      <formula>OR($J$2=TRUE,$J$9=TRUE)</formula>
    </cfRule>
  </conditionalFormatting>
  <conditionalFormatting sqref="K59">
    <cfRule type="expression" dxfId="40" priority="12">
      <formula>OR($J$55=TRUE,$J$56=TRUE,$J$57=TRUE,$J$58=TRUE,$J$59=TRUE)</formula>
    </cfRule>
  </conditionalFormatting>
  <conditionalFormatting sqref="K59">
    <cfRule type="expression" dxfId="39" priority="11">
      <formula>OR($J$2=TRUE,$J$9=TRUE)</formula>
    </cfRule>
  </conditionalFormatting>
  <conditionalFormatting sqref="K59">
    <cfRule type="expression" dxfId="38" priority="10">
      <formula>AND($J$59=TRUE,$K$59="")</formula>
    </cfRule>
  </conditionalFormatting>
  <conditionalFormatting sqref="L59">
    <cfRule type="expression" dxfId="37" priority="9">
      <formula>OR($J$55=TRUE,$J$56=TRUE,$J$57=TRUE,$J$58=TRUE,$J$59=TRUE)</formula>
    </cfRule>
  </conditionalFormatting>
  <conditionalFormatting sqref="L59">
    <cfRule type="expression" dxfId="36" priority="8">
      <formula>OR($J$2=TRUE,$J$9=TRUE)</formula>
    </cfRule>
  </conditionalFormatting>
  <conditionalFormatting sqref="L63">
    <cfRule type="expression" dxfId="35" priority="5">
      <formula>OR($J$55=TRUE,$J$56=TRUE)</formula>
    </cfRule>
    <cfRule type="expression" dxfId="34" priority="7">
      <formula>OR($J$60=TRUE,$J$61=TRUE,$J$62=TRUE,$J$63=TRUE)</formula>
    </cfRule>
  </conditionalFormatting>
  <conditionalFormatting sqref="L63">
    <cfRule type="expression" dxfId="33" priority="6">
      <formula>OR($J$2=TRUE,$J$9=TRUE)</formula>
    </cfRule>
  </conditionalFormatting>
  <conditionalFormatting sqref="L69">
    <cfRule type="expression" dxfId="32" priority="4">
      <formula>OR($J$67=TRUE,$J$68=TRUE,$J$69=TRUE)</formula>
    </cfRule>
  </conditionalFormatting>
  <conditionalFormatting sqref="L69">
    <cfRule type="expression" dxfId="31" priority="3">
      <formula>OR($J$2=TRUE,$J$9=TRUE)</formula>
    </cfRule>
  </conditionalFormatting>
  <conditionalFormatting sqref="L70">
    <cfRule type="expression" dxfId="30" priority="2">
      <formula>OR($J$70=TRUE,$J$71=TRUE)</formula>
    </cfRule>
  </conditionalFormatting>
  <conditionalFormatting sqref="L70">
    <cfRule type="expression" dxfId="29" priority="1">
      <formula>OR($J$2=TRUE,$J$9=TRUE)</formula>
    </cfRule>
  </conditionalFormatting>
  <pageMargins left="0.25" right="0.25" top="0.75" bottom="0.75" header="0.3" footer="0.3"/>
  <pageSetup scale="32" fitToHeight="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promptTitle="vali sobiv grupp rippmenüüst" prompt="selgitused on esitatud mõistete lehel" xr:uid="{DAF73CD0-9AFA-40B8-BD8B-10822FB3AD89}">
          <x14:formula1>
            <xm:f>Mõisted!$B$20:$B$37</xm:f>
          </x14:formula1>
          <xm:sqref>J47:J51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B5C8FC-3D82-4D5F-881E-9D21CCB539B2}">
  <sheetPr codeName="Leht5"/>
  <dimension ref="A1:F74"/>
  <sheetViews>
    <sheetView topLeftCell="A46" zoomScale="70" zoomScaleNormal="70" workbookViewId="0">
      <selection activeCell="E2" sqref="E2"/>
    </sheetView>
  </sheetViews>
  <sheetFormatPr defaultColWidth="9.140625" defaultRowHeight="12.75" x14ac:dyDescent="0.2"/>
  <cols>
    <col min="1" max="1" width="26.42578125" style="114" customWidth="1"/>
    <col min="2" max="3" width="16.7109375" style="114" customWidth="1"/>
    <col min="4" max="4" width="16.7109375" style="115" customWidth="1"/>
    <col min="5" max="5" width="11.140625" style="116" customWidth="1"/>
    <col min="6" max="6" width="16.28515625" style="116" customWidth="1"/>
    <col min="7" max="16384" width="9.140625" style="116"/>
  </cols>
  <sheetData>
    <row r="1" spans="1:6" x14ac:dyDescent="0.2">
      <c r="A1" s="114" t="s">
        <v>420</v>
      </c>
      <c r="B1" s="114" t="s">
        <v>81</v>
      </c>
      <c r="C1" s="114" t="s">
        <v>82</v>
      </c>
      <c r="D1" s="115" t="s">
        <v>57</v>
      </c>
      <c r="E1" s="116" t="s">
        <v>421</v>
      </c>
      <c r="F1" s="116" t="s">
        <v>422</v>
      </c>
    </row>
    <row r="2" spans="1:6" ht="25.5" x14ac:dyDescent="0.2">
      <c r="A2" s="114">
        <v>0</v>
      </c>
      <c r="B2" s="114" t="s">
        <v>90</v>
      </c>
      <c r="C2" s="114" t="s">
        <v>90</v>
      </c>
      <c r="D2" s="115" t="s">
        <v>91</v>
      </c>
      <c r="E2" s="116">
        <f>IF(F2="pole asjakohane","",3)</f>
        <v>3</v>
      </c>
      <c r="F2" s="116">
        <f>IF(Hindamistabel!J2=TRUE,0,IF(Hindamistabel!J3=TRUE,1,IF(Hindamistabel!J4=TRUE,1,IF(Hindamistabel!J5=TRUE,2,IF(Hindamistabel!J6=TRUE,2,IF(Hindamistabel!J7=TRUE,3,IF(Hindamistabel!J8=TRUE,3,IF(Hindamistabel!J9=TRUE,"pole asjakohane",""))))))))</f>
        <v>3</v>
      </c>
    </row>
    <row r="3" spans="1:6" ht="102" x14ac:dyDescent="0.2">
      <c r="A3" s="117" t="s">
        <v>106</v>
      </c>
      <c r="B3" s="117" t="s">
        <v>104</v>
      </c>
      <c r="C3" s="117" t="s">
        <v>105</v>
      </c>
      <c r="D3" s="118" t="s">
        <v>416</v>
      </c>
      <c r="E3" s="119">
        <f>IF(F3="pole asjakohane","",3)</f>
        <v>3</v>
      </c>
      <c r="F3" s="119">
        <f>IF(Hindamistabel!J10=TRUE,0,IF(Hindamistabel!J11=TRUE,1,IF(Hindamistabel!J12=TRUE,2,IF(Hindamistabel!J13=TRUE,3,IF(Hindamistabel!J14=TRUE,"pole asjakohane","")))))</f>
        <v>0</v>
      </c>
    </row>
    <row r="4" spans="1:6" ht="114.75" x14ac:dyDescent="0.2">
      <c r="A4" s="120" t="s">
        <v>114</v>
      </c>
      <c r="B4" s="120" t="s">
        <v>104</v>
      </c>
      <c r="C4" s="120" t="s">
        <v>105</v>
      </c>
      <c r="D4" s="121" t="s">
        <v>417</v>
      </c>
      <c r="E4" s="122">
        <f>IF(F4="pole asjakohane","",3)</f>
        <v>3</v>
      </c>
      <c r="F4" s="122">
        <f>IF(Hindamistabel!J15=TRUE,0,IF(Hindamistabel!J16=TRUE,1,IF(Hindamistabel!J17=TRUE,2,IF(Hindamistabel!J18=TRUE,3,IF(Hindamistabel!J19=TRUE,"pole asjakohane","")))))</f>
        <v>2</v>
      </c>
    </row>
    <row r="5" spans="1:6" ht="51" x14ac:dyDescent="0.2">
      <c r="A5" s="120" t="s">
        <v>118</v>
      </c>
      <c r="B5" s="120" t="s">
        <v>104</v>
      </c>
      <c r="C5" s="120" t="s">
        <v>105</v>
      </c>
      <c r="D5" s="121" t="s">
        <v>119</v>
      </c>
      <c r="E5" s="122" t="str">
        <f>IF(OR(F5="pole asjakohane",Hindamistabel!J10=TRUE,Hindamistabel!J14=TRUE),"",3)</f>
        <v/>
      </c>
      <c r="F5" s="122" t="str">
        <f>IF(Hindamistabel!J20=TRUE,0,IF(Hindamistabel!J21=TRUE,1,IF(Hindamistabel!J22=TRUE,2,IF(Hindamistabel!J23=TRUE,3,IF(Hindamistabel!J24=TRUE,"pole asjakohane","")))))</f>
        <v/>
      </c>
    </row>
    <row r="6" spans="1:6" ht="63.75" x14ac:dyDescent="0.2">
      <c r="A6" s="120" t="s">
        <v>126</v>
      </c>
      <c r="B6" s="120" t="s">
        <v>104</v>
      </c>
      <c r="C6" s="120" t="s">
        <v>105</v>
      </c>
      <c r="D6" s="121" t="s">
        <v>127</v>
      </c>
      <c r="E6" s="122">
        <f>IF(OR(F6="pole asjakohane",Hindamistabel!J15=TRUE,Hindamistabel!J19=TRUE),"",3)</f>
        <v>3</v>
      </c>
      <c r="F6" s="122">
        <f>IF(Hindamistabel!J25=TRUE,0,IF(Hindamistabel!J26=TRUE,1,IF(Hindamistabel!J27=TRUE,2,IF(Hindamistabel!J28=TRUE,3,IF(Hindamistabel!J29=TRUE,"pole asjakohane","")))))</f>
        <v>2</v>
      </c>
    </row>
    <row r="7" spans="1:6" ht="153" x14ac:dyDescent="0.2">
      <c r="A7" s="120" t="s">
        <v>130</v>
      </c>
      <c r="B7" s="120" t="s">
        <v>104</v>
      </c>
      <c r="C7" s="120" t="s">
        <v>105</v>
      </c>
      <c r="D7" s="121" t="s">
        <v>131</v>
      </c>
      <c r="E7" s="122">
        <f>IF(OR(F7="pole asjakohane", Hindamistabel!J2=TRUE,Hindamistabel!J9=TRUE),"",3)</f>
        <v>3</v>
      </c>
      <c r="F7" s="122">
        <f>IF(Hindamistabel!J30=TRUE,0,IF(Hindamistabel!J31=TRUE,1,IF(Hindamistabel!J32=TRUE,2,IF(Hindamistabel!J33=TRUE,3,""))))</f>
        <v>2</v>
      </c>
    </row>
    <row r="8" spans="1:6" ht="51" x14ac:dyDescent="0.2">
      <c r="A8" s="120" t="s">
        <v>137</v>
      </c>
      <c r="B8" s="120" t="s">
        <v>104</v>
      </c>
      <c r="C8" s="120" t="s">
        <v>105</v>
      </c>
      <c r="D8" s="121" t="s">
        <v>138</v>
      </c>
      <c r="E8" s="122">
        <f>IF(OR(F8="pole asjakohane",Hindamistabel!J2=TRUE,Hindamistabel!J9=TRUE,Hindamistabel!J33=TRUE),"",3)</f>
        <v>3</v>
      </c>
      <c r="F8" s="122">
        <f>IF(Hindamistabel!J34=TRUE,0,IF(Hindamistabel!J35=TRUE,1,IF(Hindamistabel!J36=TRUE,2,IF(Hindamistabel!J37=TRUE,3,""))))</f>
        <v>1</v>
      </c>
    </row>
    <row r="9" spans="1:6" ht="102" x14ac:dyDescent="0.2">
      <c r="A9" s="123" t="s">
        <v>146</v>
      </c>
      <c r="B9" s="123" t="s">
        <v>104</v>
      </c>
      <c r="C9" s="123" t="s">
        <v>145</v>
      </c>
      <c r="D9" s="124" t="s">
        <v>147</v>
      </c>
      <c r="E9" s="125">
        <f t="shared" ref="E9" si="0">IF(F9="pole asjakohane","",3)</f>
        <v>3</v>
      </c>
      <c r="F9" s="125">
        <f>IF(Hindamistabel!J38=TRUE,0,IF(Hindamistabel!J39=TRUE,1,IF(Hindamistabel!J40=TRUE,1,IF(Hindamistabel!J41=TRUE,2,IF(Hindamistabel!J42=TRUE,3,"")))))</f>
        <v>2</v>
      </c>
    </row>
    <row r="10" spans="1:6" ht="89.25" x14ac:dyDescent="0.2">
      <c r="A10" s="123" t="s">
        <v>153</v>
      </c>
      <c r="B10" s="123" t="s">
        <v>104</v>
      </c>
      <c r="C10" s="123" t="s">
        <v>145</v>
      </c>
      <c r="D10" s="124" t="s">
        <v>154</v>
      </c>
      <c r="E10" s="125">
        <f>IF(OR(F10="pole asjakohane",Hindamistabel!J38=TRUE),"",3)</f>
        <v>3</v>
      </c>
      <c r="F10" s="125">
        <f>IF(Hindamistabel!J43=TRUE,0,IF(Hindamistabel!J44=TRUE,1,IF(Hindamistabel!J45=TRUE,2,IF(Hindamistabel!J46=TRUE,3,""))))</f>
        <v>2</v>
      </c>
    </row>
    <row r="11" spans="1:6" ht="38.25" x14ac:dyDescent="0.2">
      <c r="A11" s="123" t="s">
        <v>160</v>
      </c>
      <c r="B11" s="123" t="s">
        <v>104</v>
      </c>
      <c r="C11" s="123" t="s">
        <v>145</v>
      </c>
      <c r="D11" s="124" t="s">
        <v>161</v>
      </c>
      <c r="E11" s="111" t="s">
        <v>103</v>
      </c>
      <c r="F11" s="111" t="s">
        <v>103</v>
      </c>
    </row>
    <row r="12" spans="1:6" ht="76.5" x14ac:dyDescent="0.2">
      <c r="A12" s="123">
        <v>4</v>
      </c>
      <c r="B12" s="123" t="s">
        <v>104</v>
      </c>
      <c r="C12" s="123" t="s">
        <v>145</v>
      </c>
      <c r="D12" s="124" t="s">
        <v>165</v>
      </c>
      <c r="E12" s="125">
        <f>IF(OR(F12="pole asjakohane",Hindamistabel!J9=TRUE,Hindamistabel!J2=TRUE),"",3)</f>
        <v>3</v>
      </c>
      <c r="F12" s="125">
        <f>IF(Hindamistabel!J52=TRUE,0,IF(Hindamistabel!J53=TRUE,2,IF(Hindamistabel!J54=TRUE,3,"")))</f>
        <v>0</v>
      </c>
    </row>
    <row r="13" spans="1:6" ht="76.5" x14ac:dyDescent="0.2">
      <c r="A13" s="120" t="s">
        <v>171</v>
      </c>
      <c r="B13" s="120" t="s">
        <v>104</v>
      </c>
      <c r="C13" s="120" t="s">
        <v>170</v>
      </c>
      <c r="D13" s="121" t="s">
        <v>172</v>
      </c>
      <c r="E13" s="122">
        <f>IF(OR(F13="pole asjakohane",Hindamistabel!J9=TRUE,Hindamistabel!J2=TRUE),"",3)</f>
        <v>3</v>
      </c>
      <c r="F13" s="122">
        <f>IF(Hindamistabel!J55=TRUE,0,IF(Hindamistabel!J56=TRUE,1,IF(Hindamistabel!J57=TRUE,1,IF(Hindamistabel!J58=TRUE,2,IF(Hindamistabel!J59=TRUE,3,"")))))</f>
        <v>2</v>
      </c>
    </row>
    <row r="14" spans="1:6" ht="89.25" x14ac:dyDescent="0.2">
      <c r="A14" s="120" t="s">
        <v>180</v>
      </c>
      <c r="B14" s="120" t="s">
        <v>104</v>
      </c>
      <c r="C14" s="120" t="s">
        <v>170</v>
      </c>
      <c r="D14" s="121" t="s">
        <v>181</v>
      </c>
      <c r="E14" s="122">
        <f>IF(OR(F14="pole asjakohane",Hindamistabel!J9=TRUE,Hindamistabel!J2=TRUE,Hindamistabel!J55=TRUE,Hindamistabel!J56=TRUE),"",3)</f>
        <v>3</v>
      </c>
      <c r="F14" s="122">
        <f>IF(Hindamistabel!J60=TRUE,0,IF(Hindamistabel!J61=TRUE,1,IF(Hindamistabel!J62=TRUE,2,IF(Hindamistabel!J63=TRUE,3,""))))</f>
        <v>2</v>
      </c>
    </row>
    <row r="15" spans="1:6" ht="114.75" x14ac:dyDescent="0.2">
      <c r="A15" s="120" t="s">
        <v>187</v>
      </c>
      <c r="B15" s="120" t="s">
        <v>104</v>
      </c>
      <c r="C15" s="120" t="s">
        <v>170</v>
      </c>
      <c r="D15" s="121" t="s">
        <v>188</v>
      </c>
      <c r="E15" s="122">
        <f>IF(OR(F15="pole asjakohane",Hindamistabel!J9=TRUE,Hindamistabel!J2=TRUE),"",3)</f>
        <v>3</v>
      </c>
      <c r="F15" s="122">
        <f>IF(Hindamistabel!J64=TRUE,"pole asjakohane",IF(Hindamistabel!J65=TRUE,0,IF(Hindamistabel!J66=TRUE,3,"")))</f>
        <v>3</v>
      </c>
    </row>
    <row r="16" spans="1:6" ht="114.75" x14ac:dyDescent="0.2">
      <c r="A16" s="120" t="s">
        <v>193</v>
      </c>
      <c r="B16" s="120" t="s">
        <v>104</v>
      </c>
      <c r="C16" s="120" t="s">
        <v>170</v>
      </c>
      <c r="D16" s="121" t="s">
        <v>194</v>
      </c>
      <c r="E16" s="122">
        <f>IF(OR(F16="pole asjakohane",Hindamistabel!J9=TRUE,Hindamistabel!J2=TRUE),"",3)</f>
        <v>3</v>
      </c>
      <c r="F16" s="122">
        <f>IF(Hindamistabel!J67=TRUE,"pole asjakohane",IF(Hindamistabel!J68=TRUE,1,IF(Hindamistabel!J69=TRUE,3,"")))</f>
        <v>3</v>
      </c>
    </row>
    <row r="17" spans="1:6" ht="102" x14ac:dyDescent="0.2">
      <c r="A17" s="123" t="s">
        <v>197</v>
      </c>
      <c r="B17" s="123" t="s">
        <v>104</v>
      </c>
      <c r="C17" s="123" t="s">
        <v>196</v>
      </c>
      <c r="D17" s="124" t="s">
        <v>198</v>
      </c>
      <c r="E17" s="111" t="s">
        <v>103</v>
      </c>
      <c r="F17" s="111" t="s">
        <v>103</v>
      </c>
    </row>
    <row r="18" spans="1:6" ht="89.25" x14ac:dyDescent="0.2">
      <c r="A18" s="123" t="s">
        <v>202</v>
      </c>
      <c r="B18" s="123" t="s">
        <v>104</v>
      </c>
      <c r="C18" s="123" t="s">
        <v>196</v>
      </c>
      <c r="D18" s="124" t="s">
        <v>203</v>
      </c>
      <c r="E18" s="125">
        <f>IF(OR(F18="pole asjakohane",Hindamistabel!J9=TRUE,Hindamistabel!J2=TRUE,Hindamistabel!J71=TRUE),"",3)</f>
        <v>3</v>
      </c>
      <c r="F18" s="125">
        <f>IF(Hindamistabel!J72=TRUE,0,IF(Hindamistabel!J73=TRUE,1,IF(Hindamistabel!J74=TRUE,2,IF(Hindamistabel!J75=TRUE,3,""))))</f>
        <v>2</v>
      </c>
    </row>
    <row r="19" spans="1:6" ht="63.75" x14ac:dyDescent="0.2">
      <c r="A19" s="123" t="s">
        <v>209</v>
      </c>
      <c r="B19" s="123" t="s">
        <v>104</v>
      </c>
      <c r="C19" s="123" t="s">
        <v>196</v>
      </c>
      <c r="D19" s="124" t="s">
        <v>210</v>
      </c>
      <c r="E19" s="125">
        <f>IF(OR(F19="pole asjakohane",Hindamistabel!J9=TRUE,Hindamistabel!J2=TRUE,Hindamistabel!J71=TRUE,Hindamistabel!J72=TRUE),"",3)</f>
        <v>3</v>
      </c>
      <c r="F19" s="125">
        <f>IF(Hindamistabel!J76=TRUE,"pole asjakohane",IF(Hindamistabel!J77=TRUE,0,IF(Hindamistabel!J78=TRUE,0,IF(Hindamistabel!J79=TRUE,3,""))))</f>
        <v>3</v>
      </c>
    </row>
    <row r="20" spans="1:6" ht="89.25" x14ac:dyDescent="0.2">
      <c r="A20" s="123" t="s">
        <v>215</v>
      </c>
      <c r="B20" s="123" t="s">
        <v>104</v>
      </c>
      <c r="C20" s="123" t="s">
        <v>196</v>
      </c>
      <c r="D20" s="124" t="s">
        <v>216</v>
      </c>
      <c r="E20" s="125">
        <f>IF(OR(F20="pole asjakohane",Hindamistabel!J9=TRUE,Hindamistabel!J2=TRUE,Hindamistabel!J71=TRUE,Hindamistabel!J72=TRUE),"",3)</f>
        <v>3</v>
      </c>
      <c r="F20" s="125">
        <f>IF(Hindamistabel!J80=TRUE,0,IF(Hindamistabel!J81=TRUE,1,IF(Hindamistabel!J82=TRUE,2,IF(Hindamistabel!J83=TRUE,3,""))))</f>
        <v>3</v>
      </c>
    </row>
    <row r="21" spans="1:6" ht="140.25" x14ac:dyDescent="0.2">
      <c r="A21" s="117">
        <v>7</v>
      </c>
      <c r="B21" s="117" t="s">
        <v>222</v>
      </c>
      <c r="C21" s="117" t="s">
        <v>223</v>
      </c>
      <c r="D21" s="118" t="s">
        <v>224</v>
      </c>
      <c r="E21" s="119">
        <f>IF(OR(F21="pole asjakohane",Hindamistabel!J9=TRUE,Hindamistabel!J2=TRUE),"",3)</f>
        <v>3</v>
      </c>
      <c r="F21" s="119">
        <f>IF(Hindamistabel!J84=TRUE,3,IF(Hindamistabel!J85=TRUE,1,""))</f>
        <v>3</v>
      </c>
    </row>
    <row r="22" spans="1:6" ht="153" x14ac:dyDescent="0.2">
      <c r="A22" s="120" t="s">
        <v>228</v>
      </c>
      <c r="B22" s="120" t="s">
        <v>222</v>
      </c>
      <c r="C22" s="120" t="s">
        <v>223</v>
      </c>
      <c r="D22" s="121" t="s">
        <v>229</v>
      </c>
      <c r="E22" s="122">
        <f>IF(OR(F22="pole asjakohane",Hindamistabel!J9=TRUE,Hindamistabel!J2=TRUE),"",3)</f>
        <v>3</v>
      </c>
      <c r="F22" s="122">
        <f>IF(Hindamistabel!J86=TRUE,"pole asjakohane",IF(Hindamistabel!J87=TRUE,0,IF(Hindamistabel!J88=TRUE,1,IF(Hindamistabel!J89=TRUE,2,IF(Hindamistabel!J90=TRUE,3,"")))))</f>
        <v>1</v>
      </c>
    </row>
    <row r="23" spans="1:6" ht="76.5" x14ac:dyDescent="0.2">
      <c r="A23" s="120" t="s">
        <v>236</v>
      </c>
      <c r="B23" s="120" t="s">
        <v>222</v>
      </c>
      <c r="C23" s="120" t="s">
        <v>223</v>
      </c>
      <c r="D23" s="121" t="s">
        <v>237</v>
      </c>
      <c r="E23" s="110" t="s">
        <v>103</v>
      </c>
      <c r="F23" s="110" t="s">
        <v>103</v>
      </c>
    </row>
    <row r="24" spans="1:6" ht="76.5" x14ac:dyDescent="0.2">
      <c r="A24" s="120">
        <v>9</v>
      </c>
      <c r="B24" s="120" t="s">
        <v>222</v>
      </c>
      <c r="C24" s="120" t="s">
        <v>223</v>
      </c>
      <c r="D24" s="121" t="s">
        <v>240</v>
      </c>
      <c r="E24" s="122">
        <f t="shared" ref="E24:E48" si="1">IF(F24="pole asjakohane","",3)</f>
        <v>3</v>
      </c>
      <c r="F24" s="122">
        <f>IF(Hindamistabel!J92=TRUE,0,IF(Hindamistabel!J93=TRUE,1,IF(Hindamistabel!J94=TRUE,2,IF(Hindamistabel!J95=TRUE,3,""))))</f>
        <v>2</v>
      </c>
    </row>
    <row r="25" spans="1:6" ht="76.5" x14ac:dyDescent="0.2">
      <c r="A25" s="123" t="s">
        <v>247</v>
      </c>
      <c r="B25" s="123" t="s">
        <v>222</v>
      </c>
      <c r="C25" s="123" t="s">
        <v>246</v>
      </c>
      <c r="D25" s="124" t="s">
        <v>248</v>
      </c>
      <c r="E25" s="125">
        <f t="shared" si="1"/>
        <v>3</v>
      </c>
      <c r="F25" s="125">
        <f>IF(Hindamistabel!J96=TRUE,"pole asjakohane",IF(Hindamistabel!J97=TRUE,0,IF(Hindamistabel!J98=TRUE,1,IF(Hindamistabel!J99=TRUE,3,""))))</f>
        <v>3</v>
      </c>
    </row>
    <row r="26" spans="1:6" ht="127.5" x14ac:dyDescent="0.2">
      <c r="A26" s="123" t="s">
        <v>255</v>
      </c>
      <c r="B26" s="123" t="s">
        <v>222</v>
      </c>
      <c r="C26" s="123" t="s">
        <v>246</v>
      </c>
      <c r="D26" s="124" t="s">
        <v>256</v>
      </c>
      <c r="E26" s="125">
        <f t="shared" si="1"/>
        <v>3</v>
      </c>
      <c r="F26" s="125">
        <f>IF(Hindamistabel!J100=TRUE,"pole asjakohane",IF(Hindamistabel!J101=TRUE,0,IF(Hindamistabel!J102=TRUE,1,IF(Hindamistabel!J103=TRUE,3,""))))</f>
        <v>1</v>
      </c>
    </row>
    <row r="27" spans="1:6" ht="102" x14ac:dyDescent="0.2">
      <c r="A27" s="123" t="s">
        <v>259</v>
      </c>
      <c r="B27" s="123" t="s">
        <v>222</v>
      </c>
      <c r="C27" s="123" t="s">
        <v>246</v>
      </c>
      <c r="D27" s="124" t="s">
        <v>260</v>
      </c>
      <c r="E27" s="111" t="s">
        <v>103</v>
      </c>
      <c r="F27" s="111" t="s">
        <v>103</v>
      </c>
    </row>
    <row r="28" spans="1:6" ht="63.75" x14ac:dyDescent="0.2">
      <c r="A28" s="123" t="s">
        <v>265</v>
      </c>
      <c r="B28" s="123" t="s">
        <v>222</v>
      </c>
      <c r="C28" s="123" t="s">
        <v>246</v>
      </c>
      <c r="D28" s="124" t="s">
        <v>266</v>
      </c>
      <c r="E28" s="112" t="s">
        <v>103</v>
      </c>
      <c r="F28" s="112" t="s">
        <v>103</v>
      </c>
    </row>
    <row r="29" spans="1:6" ht="89.25" x14ac:dyDescent="0.2">
      <c r="A29" s="117" t="s">
        <v>274</v>
      </c>
      <c r="B29" s="117" t="s">
        <v>273</v>
      </c>
      <c r="C29" s="117" t="s">
        <v>196</v>
      </c>
      <c r="D29" s="118" t="s">
        <v>275</v>
      </c>
      <c r="E29" s="122" t="str">
        <f>IF(OR(F29="pole asjakohane",Hindamistabel!J9=TRUE,Hindamistabel!J2=TRUE),"",3)</f>
        <v/>
      </c>
      <c r="F29" s="122" t="str">
        <f>IF(Hindamistabel!J114=TRUE,"pole asjakohane",IF(Hindamistabel!J115=TRUE,3,IF(Hindamistabel!J116=TRUE,2,IF(Hindamistabel!J117=TRUE,1,IF(Hindamistabel!J118=TRUE,0,"")))))</f>
        <v>pole asjakohane</v>
      </c>
    </row>
    <row r="30" spans="1:6" ht="114.75" x14ac:dyDescent="0.2">
      <c r="A30" s="120" t="s">
        <v>282</v>
      </c>
      <c r="B30" s="120" t="s">
        <v>273</v>
      </c>
      <c r="C30" s="120" t="s">
        <v>196</v>
      </c>
      <c r="D30" s="121" t="s">
        <v>283</v>
      </c>
      <c r="E30" s="122" t="str">
        <f>IF(OR(F30="pole asjakohane",Hindamistabel!J9=TRUE,Hindamistabel!J2=TRUE),"",3)</f>
        <v/>
      </c>
      <c r="F30" s="122" t="str">
        <f>IF(Hindamistabel!J119=TRUE,"pole asjakohane",IF(Hindamistabel!J120=TRUE,3,IF(Hindamistabel!J121=TRUE,2,IF(Hindamistabel!J122=TRUE,1,IF(Hindamistabel!J123=TRUE,0,"")))))</f>
        <v>pole asjakohane</v>
      </c>
    </row>
    <row r="31" spans="1:6" ht="51" x14ac:dyDescent="0.2">
      <c r="A31" s="120" t="s">
        <v>285</v>
      </c>
      <c r="B31" s="120" t="s">
        <v>273</v>
      </c>
      <c r="C31" s="120" t="s">
        <v>196</v>
      </c>
      <c r="D31" s="121" t="s">
        <v>286</v>
      </c>
      <c r="E31" s="122">
        <f>IF(OR(F31="pole asjakohane",Hindamistabel!J9=TRUE,Hindamistabel!J2=TRUE),"",3)</f>
        <v>3</v>
      </c>
      <c r="F31" s="122">
        <f>IF(Hindamistabel!J124=TRUE,"pole asjakohane",IF(Hindamistabel!J125=TRUE,3,IF(Hindamistabel!J126=TRUE,2,IF(Hindamistabel!J127=TRUE,1,IF(Hindamistabel!J128=TRUE,0,"")))))</f>
        <v>2</v>
      </c>
    </row>
    <row r="32" spans="1:6" ht="51" x14ac:dyDescent="0.2">
      <c r="A32" s="120" t="s">
        <v>293</v>
      </c>
      <c r="B32" s="120" t="s">
        <v>273</v>
      </c>
      <c r="C32" s="120" t="s">
        <v>196</v>
      </c>
      <c r="D32" s="121" t="s">
        <v>294</v>
      </c>
      <c r="E32" s="122" t="str">
        <f>IF(OR(F32="pole asjakohane",Hindamistabel!J9=TRUE,Hindamistabel!J2=TRUE),"",3)</f>
        <v/>
      </c>
      <c r="F32" s="122" t="str">
        <f>IF(Hindamistabel!J129=TRUE,"pole asjakohane",IF(Hindamistabel!J130=TRUE,3,IF(Hindamistabel!J131=TRUE,2,IF(Hindamistabel!J132=TRUE,1,IF(Hindamistabel!J133=TRUE,0,"")))))</f>
        <v>pole asjakohane</v>
      </c>
    </row>
    <row r="33" spans="1:6" ht="140.25" x14ac:dyDescent="0.2">
      <c r="A33" s="120" t="s">
        <v>299</v>
      </c>
      <c r="B33" s="120" t="s">
        <v>273</v>
      </c>
      <c r="C33" s="120" t="s">
        <v>196</v>
      </c>
      <c r="D33" s="121" t="s">
        <v>300</v>
      </c>
      <c r="E33" s="122">
        <f>IF(OR(F33="pole asjakohane",Hindamistabel!J9=TRUE,Hindamistabel!J2=TRUE),"",3)</f>
        <v>3</v>
      </c>
      <c r="F33" s="122">
        <f>IF(Hindamistabel!J134=TRUE,"pole asjakohane",IF(Hindamistabel!J135=TRUE,3,IF(Hindamistabel!J136=TRUE,2,IF(Hindamistabel!J137=TRUE,1,IF(Hindamistabel!J138=TRUE,0,"")))))</f>
        <v>0</v>
      </c>
    </row>
    <row r="34" spans="1:6" ht="76.5" x14ac:dyDescent="0.2">
      <c r="A34" s="120" t="s">
        <v>301</v>
      </c>
      <c r="B34" s="120" t="s">
        <v>273</v>
      </c>
      <c r="C34" s="120" t="s">
        <v>196</v>
      </c>
      <c r="D34" s="121" t="s">
        <v>302</v>
      </c>
      <c r="E34" s="110" t="s">
        <v>103</v>
      </c>
      <c r="F34" s="110" t="s">
        <v>103</v>
      </c>
    </row>
    <row r="35" spans="1:6" ht="63.75" x14ac:dyDescent="0.2">
      <c r="A35" s="120" t="s">
        <v>304</v>
      </c>
      <c r="B35" s="120" t="s">
        <v>273</v>
      </c>
      <c r="C35" s="120" t="s">
        <v>196</v>
      </c>
      <c r="D35" s="121" t="s">
        <v>305</v>
      </c>
      <c r="E35" s="122">
        <f>IF(OR(F35="pole asjakohane",Hindamistabel!J9=TRUE,Hindamistabel!J2=TRUE),"",3)</f>
        <v>3</v>
      </c>
      <c r="F35" s="122">
        <f>IF(Hindamistabel!J140=TRUE,3,IF(Hindamistabel!J141=TRUE,2,IF(Hindamistabel!J142=TRUE,1,IF(Hindamistabel!J143=TRUE,0,IF(Hindamistabel!J144=TRUE,"pole asjakohane","")))))</f>
        <v>1</v>
      </c>
    </row>
    <row r="36" spans="1:6" ht="89.25" x14ac:dyDescent="0.2">
      <c r="A36" s="120" t="s">
        <v>307</v>
      </c>
      <c r="B36" s="120" t="s">
        <v>273</v>
      </c>
      <c r="C36" s="120" t="s">
        <v>196</v>
      </c>
      <c r="D36" s="121" t="s">
        <v>308</v>
      </c>
      <c r="E36" s="122">
        <f>IF(OR(F36="pole asjakohane",Hindamistabel!J9=TRUE,Hindamistabel!J2=TRUE),"",3)</f>
        <v>3</v>
      </c>
      <c r="F36" s="122">
        <f>IF(Hindamistabel!J145=TRUE,3,IF(Hindamistabel!J146=TRUE,2,IF(Hindamistabel!J147=TRUE,1,IF(Hindamistabel!J148=TRUE,0,IF(Hindamistabel!J149=TRUE,"pole asjakohane","")))))</f>
        <v>1</v>
      </c>
    </row>
    <row r="37" spans="1:6" ht="89.25" x14ac:dyDescent="0.2">
      <c r="A37" s="120" t="s">
        <v>310</v>
      </c>
      <c r="B37" s="120" t="s">
        <v>273</v>
      </c>
      <c r="C37" s="120" t="s">
        <v>196</v>
      </c>
      <c r="D37" s="121" t="s">
        <v>311</v>
      </c>
      <c r="E37" s="122">
        <f>IF(OR(F37="pole asjakohane",Hindamistabel!J9=TRUE,Hindamistabel!J2=TRUE),"",3)</f>
        <v>3</v>
      </c>
      <c r="F37" s="122">
        <f>IF(Hindamistabel!J150=TRUE,3,IF(Hindamistabel!J151=TRUE,2,IF(Hindamistabel!J152=TRUE,1,IF(Hindamistabel!J153=TRUE,0,IF(Hindamistabel!J154=TRUE,"pole asjakohane","")))))</f>
        <v>0</v>
      </c>
    </row>
    <row r="38" spans="1:6" ht="89.25" x14ac:dyDescent="0.2">
      <c r="A38" s="120" t="s">
        <v>314</v>
      </c>
      <c r="B38" s="120" t="s">
        <v>273</v>
      </c>
      <c r="C38" s="120" t="s">
        <v>196</v>
      </c>
      <c r="D38" s="121" t="s">
        <v>315</v>
      </c>
      <c r="E38" s="110" t="s">
        <v>103</v>
      </c>
      <c r="F38" s="110" t="s">
        <v>103</v>
      </c>
    </row>
    <row r="39" spans="1:6" ht="51" x14ac:dyDescent="0.2">
      <c r="A39" s="123" t="s">
        <v>318</v>
      </c>
      <c r="B39" s="123" t="s">
        <v>273</v>
      </c>
      <c r="C39" s="123" t="s">
        <v>317</v>
      </c>
      <c r="D39" s="124" t="s">
        <v>418</v>
      </c>
      <c r="E39" s="125">
        <f t="shared" si="1"/>
        <v>3</v>
      </c>
      <c r="F39" s="125">
        <f>IF(Hindamistabel!J156=TRUE,3,IF(Hindamistabel!J157=TRUE,2,IF(Hindamistabel!J158=TRUE,1,IF(Hindamistabel!J159=TRUE,0,IF(Hindamistabel!J160=TRUE,"pole asjakohane","")))))</f>
        <v>1</v>
      </c>
    </row>
    <row r="40" spans="1:6" ht="114.75" x14ac:dyDescent="0.2">
      <c r="A40" s="123" t="s">
        <v>322</v>
      </c>
      <c r="B40" s="123" t="s">
        <v>273</v>
      </c>
      <c r="C40" s="123" t="s">
        <v>317</v>
      </c>
      <c r="D40" s="124" t="s">
        <v>323</v>
      </c>
      <c r="E40" s="111" t="s">
        <v>103</v>
      </c>
      <c r="F40" s="111" t="s">
        <v>103</v>
      </c>
    </row>
    <row r="41" spans="1:6" ht="89.25" x14ac:dyDescent="0.2">
      <c r="A41" s="123" t="s">
        <v>325</v>
      </c>
      <c r="B41" s="123" t="s">
        <v>273</v>
      </c>
      <c r="C41" s="123" t="s">
        <v>317</v>
      </c>
      <c r="D41" s="124" t="s">
        <v>326</v>
      </c>
      <c r="E41" s="111" t="s">
        <v>103</v>
      </c>
      <c r="F41" s="111" t="s">
        <v>103</v>
      </c>
    </row>
    <row r="42" spans="1:6" ht="204" x14ac:dyDescent="0.2">
      <c r="A42" s="123" t="s">
        <v>328</v>
      </c>
      <c r="B42" s="123" t="s">
        <v>273</v>
      </c>
      <c r="C42" s="123" t="s">
        <v>317</v>
      </c>
      <c r="D42" s="124" t="s">
        <v>329</v>
      </c>
      <c r="E42" s="111" t="s">
        <v>103</v>
      </c>
      <c r="F42" s="111" t="s">
        <v>103</v>
      </c>
    </row>
    <row r="43" spans="1:6" ht="63.75" x14ac:dyDescent="0.2">
      <c r="A43" s="123" t="s">
        <v>331</v>
      </c>
      <c r="B43" s="123" t="s">
        <v>273</v>
      </c>
      <c r="C43" s="123" t="s">
        <v>317</v>
      </c>
      <c r="D43" s="124" t="s">
        <v>419</v>
      </c>
      <c r="E43" s="125">
        <f t="shared" si="1"/>
        <v>3</v>
      </c>
      <c r="F43" s="125">
        <f>IF(Hindamistabel!J164=TRUE,3,IF(Hindamistabel!J165=TRUE,2,IF(Hindamistabel!J166=TRUE,1,IF(Hindamistabel!J167=TRUE,0,IF(Hindamistabel!J168=TRUE,"pole asjakohane","")))))</f>
        <v>2</v>
      </c>
    </row>
    <row r="44" spans="1:6" ht="114.75" x14ac:dyDescent="0.2">
      <c r="A44" s="123" t="s">
        <v>335</v>
      </c>
      <c r="B44" s="123" t="s">
        <v>273</v>
      </c>
      <c r="C44" s="123" t="s">
        <v>317</v>
      </c>
      <c r="D44" s="124" t="s">
        <v>336</v>
      </c>
      <c r="E44" s="111" t="s">
        <v>103</v>
      </c>
      <c r="F44" s="111" t="s">
        <v>103</v>
      </c>
    </row>
    <row r="45" spans="1:6" ht="89.25" x14ac:dyDescent="0.2">
      <c r="A45" s="123" t="s">
        <v>337</v>
      </c>
      <c r="B45" s="123" t="s">
        <v>273</v>
      </c>
      <c r="C45" s="123" t="s">
        <v>317</v>
      </c>
      <c r="D45" s="124" t="s">
        <v>338</v>
      </c>
      <c r="E45" s="111" t="s">
        <v>103</v>
      </c>
      <c r="F45" s="111" t="s">
        <v>103</v>
      </c>
    </row>
    <row r="46" spans="1:6" ht="229.5" x14ac:dyDescent="0.2">
      <c r="A46" s="123" t="s">
        <v>340</v>
      </c>
      <c r="B46" s="123" t="s">
        <v>273</v>
      </c>
      <c r="C46" s="123" t="s">
        <v>317</v>
      </c>
      <c r="D46" s="124" t="s">
        <v>341</v>
      </c>
      <c r="E46" s="111" t="s">
        <v>103</v>
      </c>
      <c r="F46" s="111" t="s">
        <v>103</v>
      </c>
    </row>
    <row r="47" spans="1:6" ht="51" x14ac:dyDescent="0.2">
      <c r="A47" s="123">
        <v>16</v>
      </c>
      <c r="B47" s="123" t="s">
        <v>273</v>
      </c>
      <c r="C47" s="123" t="s">
        <v>317</v>
      </c>
      <c r="D47" s="124" t="s">
        <v>343</v>
      </c>
      <c r="E47" s="125">
        <f t="shared" si="1"/>
        <v>3</v>
      </c>
      <c r="F47" s="125">
        <f>IF(Hindamistabel!J172=TRUE,3,IF(Hindamistabel!J173=TRUE,2,IF(Hindamistabel!J174=TRUE,1,IF(Hindamistabel!J175=TRUE,0,""))))</f>
        <v>2</v>
      </c>
    </row>
    <row r="48" spans="1:6" ht="51" x14ac:dyDescent="0.2">
      <c r="A48" s="123">
        <v>17</v>
      </c>
      <c r="B48" s="123" t="s">
        <v>273</v>
      </c>
      <c r="C48" s="123" t="s">
        <v>317</v>
      </c>
      <c r="D48" s="124" t="s">
        <v>348</v>
      </c>
      <c r="E48" s="125">
        <f t="shared" si="1"/>
        <v>3</v>
      </c>
      <c r="F48" s="125">
        <f>IF(Hindamistabel!J176=TRUE,3,IF(Hindamistabel!J177=TRUE,2,IF(Hindamistabel!J178=TRUE,1,IF(Hindamistabel!J179=TRUE,0,""))))</f>
        <v>2</v>
      </c>
    </row>
    <row r="49" spans="1:6" ht="38.25" x14ac:dyDescent="0.2">
      <c r="A49" s="123" t="s">
        <v>351</v>
      </c>
      <c r="B49" s="123" t="s">
        <v>273</v>
      </c>
      <c r="C49" s="123" t="s">
        <v>317</v>
      </c>
      <c r="D49" s="124" t="s">
        <v>352</v>
      </c>
      <c r="E49" s="125">
        <f>IF(F49="pole asjakohane","",3)</f>
        <v>3</v>
      </c>
      <c r="F49" s="125">
        <f>IF(Hindamistabel!J180=TRUE,0,IF(Hindamistabel!J181=TRUE,"pole asjakohane",IF(Hindamistabel!J182=TRUE,3,"")))</f>
        <v>3</v>
      </c>
    </row>
    <row r="50" spans="1:6" ht="76.5" x14ac:dyDescent="0.2">
      <c r="A50" s="123" t="s">
        <v>358</v>
      </c>
      <c r="B50" s="123" t="s">
        <v>273</v>
      </c>
      <c r="C50" s="123" t="s">
        <v>317</v>
      </c>
      <c r="D50" s="124" t="s">
        <v>359</v>
      </c>
      <c r="E50" s="125" t="str">
        <f>IF(OR(F50="pole asjakohane",Hindamistabel!J180=TRUE,Hindamistabel!J182=TRUE),"",2)</f>
        <v/>
      </c>
      <c r="F50" s="125" t="str">
        <f>IF(Hindamistabel!J183=TRUE,1,IF(Hindamistabel!J184=TRUE,0,IF(Hindamistabel!J185=TRUE,2,"")))</f>
        <v/>
      </c>
    </row>
    <row r="51" spans="1:6" ht="89.25" x14ac:dyDescent="0.2">
      <c r="A51" s="123" t="s">
        <v>363</v>
      </c>
      <c r="B51" s="123" t="s">
        <v>273</v>
      </c>
      <c r="C51" s="123" t="s">
        <v>317</v>
      </c>
      <c r="D51" s="124" t="s">
        <v>364</v>
      </c>
      <c r="E51" s="125">
        <f>IF(F51="ei kohaldu","",3)</f>
        <v>3</v>
      </c>
      <c r="F51" s="125">
        <f>IF(Hindamistabel!J186=TRUE,3,IF(Hindamistabel!J187=TRUE,2,IF(Hindamistabel!J188=TRUE,1,IF(Hindamistabel!J189=TRUE,0,IF(Hindamistabel!J190=TRUE,"ei kohaldu","")))))</f>
        <v>0</v>
      </c>
    </row>
    <row r="52" spans="1:6" ht="76.5" x14ac:dyDescent="0.2">
      <c r="A52" s="123" t="s">
        <v>366</v>
      </c>
      <c r="B52" s="123" t="s">
        <v>273</v>
      </c>
      <c r="C52" s="123" t="s">
        <v>317</v>
      </c>
      <c r="D52" s="124" t="s">
        <v>370</v>
      </c>
      <c r="E52" s="111" t="s">
        <v>103</v>
      </c>
      <c r="F52" s="111" t="s">
        <v>103</v>
      </c>
    </row>
    <row r="53" spans="1:6" ht="63.75" x14ac:dyDescent="0.2">
      <c r="A53" s="123" t="s">
        <v>369</v>
      </c>
      <c r="B53" s="123" t="s">
        <v>273</v>
      </c>
      <c r="C53" s="123" t="s">
        <v>317</v>
      </c>
      <c r="D53" s="124" t="s">
        <v>367</v>
      </c>
      <c r="E53" s="125">
        <f>IF(F53="ei kohaldu","",3)</f>
        <v>3</v>
      </c>
      <c r="F53" s="125">
        <f>IF(Hindamistabel!J192=TRUE,3,IF(Hindamistabel!J193=TRUE,2,IF(Hindamistabel!J194=TRUE,1,IF(Hindamistabel!J195=TRUE,0,IF(Hindamistabel!J196=TRUE,"ei kohaldu","")))))</f>
        <v>0</v>
      </c>
    </row>
    <row r="54" spans="1:6" ht="76.5" x14ac:dyDescent="0.2">
      <c r="A54" s="123" t="s">
        <v>404</v>
      </c>
      <c r="B54" s="123" t="s">
        <v>273</v>
      </c>
      <c r="C54" s="123" t="s">
        <v>317</v>
      </c>
      <c r="D54" s="124" t="s">
        <v>405</v>
      </c>
      <c r="E54" s="111" t="s">
        <v>103</v>
      </c>
      <c r="F54" s="111" t="s">
        <v>103</v>
      </c>
    </row>
    <row r="55" spans="1:6" ht="63.75" x14ac:dyDescent="0.2">
      <c r="A55" s="117">
        <v>20</v>
      </c>
      <c r="B55" s="117" t="s">
        <v>55</v>
      </c>
      <c r="C55" s="117" t="s">
        <v>55</v>
      </c>
      <c r="D55" s="118" t="s">
        <v>371</v>
      </c>
      <c r="E55" s="113" t="s">
        <v>103</v>
      </c>
      <c r="F55" s="113" t="s">
        <v>103</v>
      </c>
    </row>
    <row r="56" spans="1:6" x14ac:dyDescent="0.2">
      <c r="E56" s="116">
        <f>SUM(Tabel1[Max skoor])</f>
        <v>99</v>
      </c>
      <c r="F56" s="116">
        <f>SUM(Tabel1[Hindamise skoor])</f>
        <v>56</v>
      </c>
    </row>
    <row r="57" spans="1:6" ht="19.5" thickBot="1" x14ac:dyDescent="0.4">
      <c r="A57" s="136" t="s">
        <v>88</v>
      </c>
      <c r="B57" s="1"/>
      <c r="C57" s="1"/>
      <c r="D57" s="1"/>
    </row>
    <row r="58" spans="1:6" ht="13.5" thickTop="1" x14ac:dyDescent="0.2">
      <c r="D58" s="116"/>
    </row>
    <row r="59" spans="1:6" x14ac:dyDescent="0.2">
      <c r="A59" s="137"/>
      <c r="B59" s="138" t="s">
        <v>421</v>
      </c>
      <c r="C59" s="138" t="s">
        <v>422</v>
      </c>
      <c r="D59" s="139" t="s">
        <v>455</v>
      </c>
    </row>
    <row r="60" spans="1:6" x14ac:dyDescent="0.2">
      <c r="A60" s="140" t="s">
        <v>456</v>
      </c>
      <c r="B60" s="140">
        <f>SUM(Tabel1[Max skoor])</f>
        <v>99</v>
      </c>
      <c r="C60" s="140">
        <f>SUM(Tabel1[Hindamise skoor])</f>
        <v>56</v>
      </c>
      <c r="D60" s="153">
        <f>IFERROR(C60/B60,"ei kohaldu")</f>
        <v>0.56565656565656564</v>
      </c>
    </row>
    <row r="61" spans="1:6" x14ac:dyDescent="0.2">
      <c r="A61" s="141" t="s">
        <v>423</v>
      </c>
      <c r="B61" s="142">
        <f>SUM(E2)</f>
        <v>3</v>
      </c>
      <c r="C61" s="142">
        <f>SUM(F2)</f>
        <v>3</v>
      </c>
      <c r="D61" s="151">
        <f t="shared" ref="D61:D74" si="2">IFERROR(C61/B61,"ei kohaldu")</f>
        <v>1</v>
      </c>
    </row>
    <row r="62" spans="1:6" x14ac:dyDescent="0.2">
      <c r="A62" s="141" t="s">
        <v>444</v>
      </c>
      <c r="B62" s="142">
        <f>SUM(E3:E8)</f>
        <v>15</v>
      </c>
      <c r="C62" s="142">
        <f>SUM(F3:F8)</f>
        <v>7</v>
      </c>
      <c r="D62" s="151">
        <f t="shared" si="2"/>
        <v>0.46666666666666667</v>
      </c>
    </row>
    <row r="63" spans="1:6" x14ac:dyDescent="0.2">
      <c r="A63" s="141" t="s">
        <v>445</v>
      </c>
      <c r="B63" s="142">
        <f>SUM(E9:E12)</f>
        <v>9</v>
      </c>
      <c r="C63" s="142">
        <f>SUM(F9:F12)</f>
        <v>4</v>
      </c>
      <c r="D63" s="151">
        <f t="shared" si="2"/>
        <v>0.44444444444444442</v>
      </c>
    </row>
    <row r="64" spans="1:6" x14ac:dyDescent="0.2">
      <c r="A64" s="141" t="s">
        <v>446</v>
      </c>
      <c r="B64" s="142">
        <f>SUM(E13:E16)</f>
        <v>12</v>
      </c>
      <c r="C64" s="142">
        <f>SUM(F13:F16)</f>
        <v>10</v>
      </c>
      <c r="D64" s="151">
        <f t="shared" si="2"/>
        <v>0.83333333333333337</v>
      </c>
    </row>
    <row r="65" spans="1:4" x14ac:dyDescent="0.2">
      <c r="A65" s="141" t="s">
        <v>447</v>
      </c>
      <c r="B65" s="142">
        <f>SUM(E17:E20)</f>
        <v>9</v>
      </c>
      <c r="C65" s="142">
        <f>SUM(F17:F20)</f>
        <v>8</v>
      </c>
      <c r="D65" s="151">
        <f t="shared" si="2"/>
        <v>0.88888888888888884</v>
      </c>
    </row>
    <row r="66" spans="1:4" x14ac:dyDescent="0.2">
      <c r="A66" s="141" t="s">
        <v>448</v>
      </c>
      <c r="B66" s="142">
        <f>SUM(E21:E24)</f>
        <v>9</v>
      </c>
      <c r="C66" s="142">
        <f>SUM(F21:F24)</f>
        <v>6</v>
      </c>
      <c r="D66" s="151">
        <f t="shared" si="2"/>
        <v>0.66666666666666663</v>
      </c>
    </row>
    <row r="67" spans="1:4" x14ac:dyDescent="0.2">
      <c r="A67" s="141" t="s">
        <v>449</v>
      </c>
      <c r="B67" s="142">
        <f>SUM(E25:E28)</f>
        <v>6</v>
      </c>
      <c r="C67" s="142">
        <f>SUM(F25:F28)</f>
        <v>4</v>
      </c>
      <c r="D67" s="151">
        <f t="shared" si="2"/>
        <v>0.66666666666666663</v>
      </c>
    </row>
    <row r="68" spans="1:4" x14ac:dyDescent="0.2">
      <c r="A68" s="141" t="s">
        <v>450</v>
      </c>
      <c r="B68" s="142">
        <f>SUM(E29:E38)</f>
        <v>15</v>
      </c>
      <c r="C68" s="142">
        <f>SUM(F29:F38)</f>
        <v>4</v>
      </c>
      <c r="D68" s="151">
        <f t="shared" si="2"/>
        <v>0.26666666666666666</v>
      </c>
    </row>
    <row r="69" spans="1:4" x14ac:dyDescent="0.2">
      <c r="A69" s="141" t="s">
        <v>451</v>
      </c>
      <c r="B69" s="142">
        <f>SUM(E39:E54)</f>
        <v>21</v>
      </c>
      <c r="C69" s="142">
        <f>SUM(F39:F54)</f>
        <v>10</v>
      </c>
      <c r="D69" s="151">
        <f t="shared" si="2"/>
        <v>0.47619047619047616</v>
      </c>
    </row>
    <row r="70" spans="1:4" x14ac:dyDescent="0.2">
      <c r="D70" s="152"/>
    </row>
    <row r="71" spans="1:4" x14ac:dyDescent="0.2">
      <c r="A71" s="140" t="s">
        <v>423</v>
      </c>
      <c r="B71" s="142">
        <f>SUM(E2)</f>
        <v>3</v>
      </c>
      <c r="C71" s="142">
        <f>SUM(F2)</f>
        <v>3</v>
      </c>
      <c r="D71" s="151">
        <f t="shared" si="2"/>
        <v>1</v>
      </c>
    </row>
    <row r="72" spans="1:4" x14ac:dyDescent="0.2">
      <c r="A72" s="140" t="s">
        <v>424</v>
      </c>
      <c r="B72" s="142">
        <f>SUM(E3:E20)</f>
        <v>45</v>
      </c>
      <c r="C72" s="142">
        <f>SUM(F3:F20)</f>
        <v>29</v>
      </c>
      <c r="D72" s="151">
        <f t="shared" si="2"/>
        <v>0.64444444444444449</v>
      </c>
    </row>
    <row r="73" spans="1:4" x14ac:dyDescent="0.2">
      <c r="A73" s="140" t="s">
        <v>442</v>
      </c>
      <c r="B73" s="142">
        <f>SUM(E21:E28)</f>
        <v>15</v>
      </c>
      <c r="C73" s="142">
        <f>SUM(F21:F28)</f>
        <v>10</v>
      </c>
      <c r="D73" s="151">
        <f t="shared" si="2"/>
        <v>0.66666666666666663</v>
      </c>
    </row>
    <row r="74" spans="1:4" x14ac:dyDescent="0.2">
      <c r="A74" s="140" t="s">
        <v>443</v>
      </c>
      <c r="B74" s="142">
        <f>SUM(E29:E54)</f>
        <v>36</v>
      </c>
      <c r="C74" s="142">
        <f>SUM(F29:F54)</f>
        <v>14</v>
      </c>
      <c r="D74" s="151">
        <f t="shared" si="2"/>
        <v>0.3888888888888889</v>
      </c>
    </row>
  </sheetData>
  <conditionalFormatting sqref="E11:F11 E54:F55 E34:F34 E40:F42 E44:F46 E52:F52 E27:F28 E23:F23 E17:F17 E38:F38">
    <cfRule type="expression" dxfId="28" priority="303">
      <formula>#REF!&lt;&gt;""</formula>
    </cfRule>
  </conditionalFormatting>
  <conditionalFormatting sqref="E11:F11 E54:F55 E34:F34 E40:F42 E44:F46 E52:F52 E27:F28 E23:F23 E17:F17 E38:F38">
    <cfRule type="expression" dxfId="27" priority="304">
      <formula>#REF!=TRUE</formula>
    </cfRule>
  </conditionalFormatting>
  <pageMargins left="0.7" right="0.7" top="0.75" bottom="0.75" header="0.3" footer="0.3"/>
  <pageSetup paperSize="9" orientation="portrait" r:id="rId1"/>
  <tableParts count="1">
    <tablePart r:id="rId2"/>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DBC309-122A-454A-B042-56FDC6039FE1}">
  <sheetPr codeName="Leht1"/>
  <dimension ref="A1:G57"/>
  <sheetViews>
    <sheetView topLeftCell="A49" zoomScale="60" zoomScaleNormal="60" workbookViewId="0">
      <selection activeCell="F57" sqref="F57"/>
    </sheetView>
  </sheetViews>
  <sheetFormatPr defaultColWidth="9.140625" defaultRowHeight="12.75" x14ac:dyDescent="0.25"/>
  <cols>
    <col min="1" max="1" width="25.7109375" style="145" customWidth="1"/>
    <col min="2" max="2" width="26.42578125" style="145" customWidth="1"/>
    <col min="3" max="3" width="25.7109375" style="145" customWidth="1"/>
    <col min="4" max="4" width="71.7109375" style="145" customWidth="1"/>
    <col min="5" max="5" width="91.7109375" style="145" customWidth="1"/>
    <col min="6" max="6" width="36.7109375" style="145" customWidth="1"/>
    <col min="7" max="7" width="77.7109375" style="145" customWidth="1"/>
    <col min="8" max="16384" width="9.140625" style="145"/>
  </cols>
  <sheetData>
    <row r="1" spans="1:7" ht="62.25" customHeight="1" thickBot="1" x14ac:dyDescent="0.6">
      <c r="A1" s="144"/>
      <c r="B1" s="253" t="s">
        <v>426</v>
      </c>
      <c r="C1" s="253"/>
      <c r="D1" s="144"/>
      <c r="E1" s="144"/>
      <c r="F1" s="144"/>
      <c r="G1" s="144"/>
    </row>
    <row r="2" spans="1:7" ht="31.5" thickTop="1" x14ac:dyDescent="0.55000000000000004">
      <c r="A2" s="143"/>
      <c r="B2" s="146" t="s">
        <v>427</v>
      </c>
      <c r="C2" s="146"/>
      <c r="D2" s="146"/>
      <c r="E2" s="146" t="s">
        <v>427</v>
      </c>
      <c r="F2" s="146"/>
      <c r="G2" s="146"/>
    </row>
    <row r="3" spans="1:7" ht="77.25" x14ac:dyDescent="0.4">
      <c r="A3" s="147" t="s">
        <v>420</v>
      </c>
      <c r="B3" s="148" t="s">
        <v>81</v>
      </c>
      <c r="C3" s="148" t="s">
        <v>82</v>
      </c>
      <c r="D3" s="149" t="s">
        <v>57</v>
      </c>
      <c r="E3" s="149" t="s">
        <v>58</v>
      </c>
      <c r="F3" s="149" t="s">
        <v>89</v>
      </c>
      <c r="G3" s="150" t="s">
        <v>373</v>
      </c>
    </row>
    <row r="4" spans="1:7" ht="102.75" x14ac:dyDescent="0.4">
      <c r="A4" s="154">
        <v>0</v>
      </c>
      <c r="B4" s="155" t="s">
        <v>90</v>
      </c>
      <c r="C4" s="155" t="s">
        <v>90</v>
      </c>
      <c r="D4" s="170" t="s">
        <v>91</v>
      </c>
      <c r="E4" s="156" t="str">
        <f>IF(Hindamistabel!J2=TRUE,"Ei",IF(Hindamistabel!J3=TRUE,"Alapõhine kaitsekorralduskava puudub, kuid ala olulisematele kaitseväärtustele kohalduvad liigikaitsekava(d) ja/või elupaiga tegevuskava(d)",IF(Hindamistabel!J4=TRUE,"Jah, kuid alapõhine kaitsekorralduskava (lühikava või täiskava) katab vaid osa ala territooriumist ",IF(Hindamistabel!J5=TRUE,"Jah, lihtsustatud alapõhine kaitsekorralduskava (lühikava)",IF(Hindamistabel!J6=TRUE,"Jah, lihtsustatud alapõhine kaitsekorralduskava (lühikava), lisaks kohalduvad liigikaitsekava(d) ja/või elupaiga tegevuskava(d)",IF(Hindamistabel!J7=TRUE,"Jah, alapõhine kaitsekorralduskava",IF(Hindamistabel!J8=TRUE,"Jah, alapõhine kaitsekorralduskava, lisaks kohalduvad liigikaitsekava(d) ja/või elupaiga tegevuskava(d)",IF(Hindamistabel!J9=TRUE,"Pole asjakohane (alal pole kava vajalik)",""))))))))</f>
        <v>Jah, alapõhine kaitsekorralduskava, lisaks kohalduvad liigikaitsekava(d) ja/või elupaiga tegevuskava(d)</v>
      </c>
      <c r="F4" s="156" t="str">
        <f>_xlfn.TEXTJOIN("; ",TRUE,_xlfn.UNIQUE(Hindamistabel!K2:K9))</f>
        <v>EELIS</v>
      </c>
      <c r="G4" s="157" t="str">
        <f>_xlfn.TEXTJOIN("; ",TRUE,Hindamistabel!L2:L9)</f>
        <v>KKK kinnitati esmalt 2012. a ja uuesti tähtajatuna 2024. a; Kaitstavate soode tegevuskava (2016-2023); Pärandniitude tegevuskava (2021-2027)</v>
      </c>
    </row>
    <row r="5" spans="1:7" ht="153.75" x14ac:dyDescent="0.4">
      <c r="A5" s="158" t="s">
        <v>106</v>
      </c>
      <c r="B5" s="159" t="s">
        <v>104</v>
      </c>
      <c r="C5" s="159" t="s">
        <v>105</v>
      </c>
      <c r="D5" s="171" t="s">
        <v>416</v>
      </c>
      <c r="E5" s="160" t="str">
        <f>IF(Hindamistabel!J10=TRUE,"Seisund ei olnud määratud ",IF(Hindamistabel!J11=TRUE,"Seisund oli määratud &lt;50% väärtustest",IF(Hindamistabel!J12=TRUE,"Seisund oli määratud 50-90% väärtustest",IF(Hindamistabel!J13=TRUE,"Seisund oli määratud ≥90% väärtustele",IF(Hindamistabel!J14=TRUE,"Pole asjakohane (liigid ei ole kaitse-eesmärgiks)","")))))</f>
        <v xml:space="preserve">Seisund ei olnud määratud </v>
      </c>
      <c r="F5" s="160" t="str">
        <f>_xlfn.TEXTJOIN("; ",TRUE,_xlfn.UNIQUE(Hindamistabel!K10:K14))</f>
        <v>RT, KKK</v>
      </c>
      <c r="G5" s="161" t="str">
        <f>_xlfn.TEXTJOIN("; ",TRUE,Hindamistabel!L10:L14)</f>
        <v>KKK koostamise ajal kehtinud kaitse-eeskiri seadis kaitseväärtuseks liikidest vaid taimeliigid, kuid ka neid nimeliselt välja ei toodud; KKK-s on hiljem kaitseväärtuseks seatud liike mainitud, kuid info nende kohta on puudulik</v>
      </c>
    </row>
    <row r="6" spans="1:7" ht="230.25" x14ac:dyDescent="0.4">
      <c r="A6" s="158" t="s">
        <v>114</v>
      </c>
      <c r="B6" s="159" t="s">
        <v>104</v>
      </c>
      <c r="C6" s="159" t="s">
        <v>105</v>
      </c>
      <c r="D6" s="171" t="s">
        <v>417</v>
      </c>
      <c r="E6" s="160" t="str">
        <f>IF(Hindamistabel!J15=TRUE,"Seisundit ei olnud määratud ",IF(Hindamistabel!J16=TRUE,"Seisund oli määratud &lt;50% väärtustest",IF(Hindamistabel!J17=TRUE,"Seisund oli määratud 50-90% väärtustest",IF(Hindamistabel!J18=TRUE,"Seisund oli määratud ≥90% väärtustele",IF(Hindamistabel!J19=TRUE,"Pole asjakohane (elupaigad ei ole kaitse-eesmärgiks)","")))))</f>
        <v>Seisund oli määratud 50-90% väärtustest</v>
      </c>
      <c r="F6" s="160" t="str">
        <f>_xlfn.TEXTJOIN("; ",TRUE,_xlfn.UNIQUE(Hindamistabel!K15:K19))</f>
        <v>RT, KKK</v>
      </c>
      <c r="G6" s="161" t="str">
        <f>_xlfn.TEXTJOIN("; ",TRUE,Hindamistabel!L15:L19)</f>
        <v>KKK koostamise ajal kehtinud kaitse-eeskiri seadis kaitseväärtuseks pärandkultuurmaastiku ja rannaniidud; hilisemast ajast (alates 2018. a) kehtivas kaitse-eeskirjas nimetatud kümnest kaitseväärtuseks seatud elupaigatüübist puudub KKK-s info kahe tüübi (1110 ja 7230) kohta, teiste kohta on info loodusala põhiselt</v>
      </c>
    </row>
    <row r="7" spans="1:7" ht="52.5" x14ac:dyDescent="0.4">
      <c r="A7" s="158" t="s">
        <v>118</v>
      </c>
      <c r="B7" s="159" t="s">
        <v>104</v>
      </c>
      <c r="C7" s="159" t="s">
        <v>105</v>
      </c>
      <c r="D7" s="171" t="s">
        <v>462</v>
      </c>
      <c r="E7" s="160" t="str">
        <f>IF(Hindamistabel!J20=TRUE,"Halb - puudub informatsioon alusandmete kohta ja/või seisund on esitatud üldise/täpsustamata hinnanguna",IF(Hindamistabel!J21=TRUE,"Kesine - &lt;50% seisundi hinnangutest põhineb ajakohastel kvantitatiivsetel andmetel (uuringud, seired, inventuurid, vaatlused)",IF(Hindamistabel!J22=TRUE,"Hea - 50-90% seisundi hinnangutest põhineb ajakohastel kvantitatiivsetel andmetel (uuringud, seired, inventuurid, vaatlused)",IF(Hindamistabel!J23=TRUE,"Väga hea - ≥90% seisundi hinnangutest põhineb ajakohastel kvantitatiivsetel andmetel (uuringud, seired, inventuurid, vaatlused)",IF(Hindamistabel!J24=TRUE,"Pole asjakohane","")))))</f>
        <v/>
      </c>
      <c r="F7" s="160" t="str">
        <f>_xlfn.TEXTJOIN("; ",TRUE,_xlfn.UNIQUE(Hindamistabel!K20:K24))</f>
        <v/>
      </c>
      <c r="G7" s="161" t="str">
        <f>_xlfn.TEXTJOIN("; ",TRUE,Hindamistabel!L20:L24)</f>
        <v/>
      </c>
    </row>
    <row r="8" spans="1:7" ht="78.75" x14ac:dyDescent="0.4">
      <c r="A8" s="158" t="s">
        <v>126</v>
      </c>
      <c r="B8" s="159" t="s">
        <v>104</v>
      </c>
      <c r="C8" s="159" t="s">
        <v>105</v>
      </c>
      <c r="D8" s="171" t="s">
        <v>466</v>
      </c>
      <c r="E8" s="160" t="str">
        <f>IF(Hindamistabel!J25=TRUE,"Halb - puudub informatsioon alusandmete kohta ja/või seisund on esitatud üldise/umbmäärase hinnanguna",IF(Hindamistabel!J26=TRUE,"Kesine - &lt;50% seisundi hinnangutest põhineb ajakohastel kvantitatiivsetel andmetel (uuringud, seired, inventuurid, vaatlused)",IF(Hindamistabel!J27=TRUE,"Hea - 50-90% seisundi hinnangutest põhineb ajakohastel kvantitatiivsetel andmetel (uuringud, seired, inventuurid, vaatlused)",IF(Hindamistabel!J28=TRUE,"Väga hea - ≥90% seisundi hinnangutest põhineb ajakohastel kvantitatiivsetel andmetel (uuringud, seired, inventuurid, vaatlused)",IF(Hindamistabel!J29=TRUE,"Pole asjakohane","")))))</f>
        <v>Hea - 50-90% seisundi hinnangutest põhineb ajakohastel kvantitatiivsetel andmetel (uuringud, seired, inventuurid, vaatlused)</v>
      </c>
      <c r="F8" s="160" t="str">
        <f>_xlfn.TEXTJOIN("; ",TRUE,_xlfn.UNIQUE(Hindamistabel!K25:K29))</f>
        <v>KKK</v>
      </c>
      <c r="G8" s="161" t="str">
        <f>_xlfn.TEXTJOIN("; ",TRUE,Hindamistabel!L25:L29)</f>
        <v>elupaigatüüpide andmestik oli valdavalt saadud inventeerimise (aastatel 2002-2004 ja 2009. a) teel</v>
      </c>
    </row>
    <row r="9" spans="1:7" ht="183.75" x14ac:dyDescent="0.4">
      <c r="A9" s="158" t="s">
        <v>130</v>
      </c>
      <c r="B9" s="159" t="s">
        <v>104</v>
      </c>
      <c r="C9" s="159" t="s">
        <v>105</v>
      </c>
      <c r="D9" s="171" t="s">
        <v>131</v>
      </c>
      <c r="E9" s="160" t="str">
        <f>IF(Hindamistabel!J30=TRUE,"Andmelünkasid ei ole analüüsitud/kavas(-des) kajastatud",IF(Hindamistabel!J31=TRUE,"On tuvastatud mõned andmelüngad, kuid nende lünkade täitmise vajadus ei ole selgelt välja toodud.",IF(Hindamistabel!J32=TRUE,"Andmelüngad on põhjalikult kaardistatud ning andmelünkade täitmiseks vajalikud tegevused on selgelt välja toodud.",IF(Hindamistabel!J33=TRUE,"Olulised andmelüngad puuduvad/ei ole asjakohane",""))))</f>
        <v>Andmelüngad on põhjalikult kaardistatud ning andmelünkade täitmiseks vajalikud tegevused on selgelt välja toodud.</v>
      </c>
      <c r="F9" s="160" t="str">
        <f>_xlfn.TEXTJOIN("; ",TRUE,_xlfn.UNIQUE(Hindamistabel!K30:K33))</f>
        <v>KKK</v>
      </c>
      <c r="G9" s="161" t="str">
        <f>_xlfn.TEXTJOIN("; ",TRUE,Hindamistabel!L30:L33)</f>
        <v>andmelüngad, eriti liikide osas, on KKK-s välja toodud ja nende täitmiseks on ette nähtud kahe taimekoosluste riikliku seire jätkamine ning kaks linnustiku tulemusseiret</v>
      </c>
    </row>
    <row r="10" spans="1:7" ht="153.75" x14ac:dyDescent="0.4">
      <c r="A10" s="158" t="s">
        <v>137</v>
      </c>
      <c r="B10" s="159" t="s">
        <v>104</v>
      </c>
      <c r="C10" s="159" t="s">
        <v>105</v>
      </c>
      <c r="D10" s="171" t="s">
        <v>138</v>
      </c>
      <c r="E10" s="160" t="str">
        <f>IF(Hindamistabel!J34=TRUE,"Tuvastatud andmelünki ei ole täidetud",IF(Hindamistabel!J35=TRUE,"Vähem kui pooled andmelüngad (&lt;50%) on täidetud, kuid siiski on veel märkimisväärseid puuduseid alusandmetes.",IF(Hindamistabel!J36=TRUE,"Pool või enam (50%-&lt;100%) tuvastatud andmelünki on täidetud.",IF(Hindamistabel!J37=TRUE,"Kõik tuvastatud andmelüngad on täidetud.",""))))</f>
        <v>Vähem kui pooled andmelüngad (&lt;50%) on täidetud, kuid siiski on veel märkimisväärseid puuduseid alusandmetes.</v>
      </c>
      <c r="F10" s="160" t="str">
        <f>_xlfn.TEXTJOIN("; ",TRUE,_xlfn.UNIQUE(Hindamistabel!K34:K37))</f>
        <v>EELIS</v>
      </c>
      <c r="G10" s="161" t="str">
        <f>_xlfn.TEXTJOIN("; ",TRUE,Hindamistabel!L34:L37)</f>
        <v>emaputke kohta on teavet ühest kohast 2016. a ja teisest kohast 2025. a, ülejäänud viiest leiukohast peale 2009. a teave puudub; lindudest on uuemat teavet vaid punajalg-tildri ja sookure kohta</v>
      </c>
    </row>
    <row r="11" spans="1:7" ht="128.25" x14ac:dyDescent="0.4">
      <c r="A11" s="158" t="s">
        <v>146</v>
      </c>
      <c r="B11" s="159" t="s">
        <v>104</v>
      </c>
      <c r="C11" s="159" t="s">
        <v>145</v>
      </c>
      <c r="D11" s="171" t="s">
        <v>147</v>
      </c>
      <c r="E11" s="160" t="str">
        <f>IF(Hindamistabel!J38=TRUE,"Ala survetegureid ei ole kindlaks määratud",IF(Hindamistabel!J39=TRUE,"Survetegurid on määratletud riigi tasemel (nt liigi ohustatuse hindamisel, liigi või elupaiga tegevuskavas vm), alapõhiseid survetegureid ei ole kaardistatud/hinnatud.",IF(Hindamistabel!J40=TRUE,"Survetegurid on kindlaks määratud vähem kui pooltele (&lt;50%) kaitseväärtustele",IF(Hindamistabel!J41=TRUE,"Survetegurid on kindlaks määratud pooltele või enamale (50% - &lt;100%) kaitseväärtustest",IF(Hindamistabel!J42=TRUE,"Survetegurid on kindlaks määratud kõigile (100%) kaitseväärtustele (kui asjakohane)","")))))</f>
        <v>Survetegurid on kindlaks määratud pooltele või enamale (50% - &lt;100%) kaitseväärtustest</v>
      </c>
      <c r="F11" s="160" t="str">
        <f>_xlfn.TEXTJOIN("; ",TRUE,_xlfn.UNIQUE(Hindamistabel!K38:K42))</f>
        <v>KKK</v>
      </c>
      <c r="G11" s="161" t="str">
        <f>_xlfn.TEXTJOIN("; ",TRUE,Hindamistabel!L38:L42)</f>
        <v>mõjutegurid on välja toodud rohkematele väärtustele, kui neid KKK koostamise ajal kaitseväärtusena sätestatud oli, sh enamikule, kuid siiski mitte kõigile praegustele kaitseväärtustele</v>
      </c>
    </row>
    <row r="12" spans="1:7" ht="77.25" x14ac:dyDescent="0.4">
      <c r="A12" s="158" t="s">
        <v>153</v>
      </c>
      <c r="B12" s="159" t="s">
        <v>104</v>
      </c>
      <c r="C12" s="159" t="s">
        <v>145</v>
      </c>
      <c r="D12" s="171" t="s">
        <v>428</v>
      </c>
      <c r="E12" s="160" t="str">
        <f>IF(Hindamistabel!J43=TRUE,"Survetegurite ulatus ja olulisus ei ole kindlaks määratud",IF(Hindamistabel!J44=TRUE,"Survetegurite ulatus ja olulisus on kindlaks määratud vähem kui poolte (&lt;50%) kaitseväärtuste puhul ja/või vaid mõne surveteguri puhul",IF(Hindamistabel!J45=TRUE,"Survetegurite ulatus ja olulisus on kindlaks määratud poolte või enama (50% - &lt;100%) kaitseväärtuste ja survetegurite puhul",IF(Hindamistabel!J46=TRUE,"Survetegurite ulatus ja olulisus on kindlaks määratud kõikide kaitseväärtuste ja survetegurite puhul",""))))</f>
        <v>Survetegurite ulatus ja olulisus on kindlaks määratud poolte või enama (50% - &lt;100%) kaitseväärtuste ja survetegurite puhul</v>
      </c>
      <c r="F12" s="160" t="str">
        <f>_xlfn.TEXTJOIN("; ",TRUE,_xlfn.UNIQUE(Hindamistabel!K43:K46))</f>
        <v>KKK</v>
      </c>
      <c r="G12" s="161" t="str">
        <f>_xlfn.TEXTJOIN("; ",TRUE,Hindamistabel!L43:L46)</f>
        <v>paljud survetegurid (KKK-s nimetatakse  neid ohuteguriteks) on väga üldsõnalised</v>
      </c>
    </row>
    <row r="13" spans="1:7" ht="153.75" x14ac:dyDescent="0.4">
      <c r="A13" s="158" t="s">
        <v>160</v>
      </c>
      <c r="B13" s="159" t="s">
        <v>104</v>
      </c>
      <c r="C13" s="159" t="s">
        <v>145</v>
      </c>
      <c r="D13" s="171" t="s">
        <v>161</v>
      </c>
      <c r="E13" s="160" t="str" cm="1">
        <f t="array" ref="E13">_xlfn.TEXTJOIN("; ",TRUE,IF(Hindamistabel!J47:J51="muu",Hindamistabel!L47:L51,IF(Hindamistabel!J47:J51&lt;&gt;"",Hindamistabel!J47:J51,"")))</f>
        <v>rohumaade hülgamine; inimtekkelised veerežiimi muutused; ehitustegevus ja asustus; militaartegevused ja muud inimsekkumised; metsandus</v>
      </c>
      <c r="F13" s="160" t="str">
        <f>_xlfn.TEXTJOIN("; ",TRUE,_xlfn.UNIQUE(Hindamistabel!K47:K51))</f>
        <v>KKK</v>
      </c>
      <c r="G13" s="161" t="str">
        <f>_xlfn.TEXTJOIN("; ",TRUE,Hindamistabel!L47:L51)</f>
        <v>majandamise puudumine või alakarjatamine; kuivendamine, veerežiimi mõjutavad tegevused (süvendamine, täitmine jmt); ehitus- ja arendustegevus; külastajatepoolne tallamine ja häirimine; metsaraie, kõdupuidu eemaldamine</v>
      </c>
    </row>
    <row r="14" spans="1:7" ht="78.75" x14ac:dyDescent="0.4">
      <c r="A14" s="158">
        <v>4</v>
      </c>
      <c r="B14" s="159" t="s">
        <v>104</v>
      </c>
      <c r="C14" s="159" t="s">
        <v>145</v>
      </c>
      <c r="D14" s="171" t="s">
        <v>165</v>
      </c>
      <c r="E14" s="160" t="str">
        <f>IF(Hindamistabel!J52=TRUE,"Kaitseala piiridest väljaspoolt tulenevaid survetegureid ei ole arvestatud või puudub vastav informatsioon",IF(Hindamistabel!J53=TRUE,"Kaitseala piiridest väljaspoolt tulenevaid survetegureid on arvestatud osaliselt.",IF(Hindamistabel!J54=TRUE,"Kaitseala piiridest väljaspoolt tulenevaid survetegureid on arvestatud ammendavalt või on selgitatud, et selliseid survetegureid ei esine.","")))</f>
        <v>Kaitseala piiridest väljaspoolt tulenevaid survetegureid ei ole arvestatud või puudub vastav informatsioon</v>
      </c>
      <c r="F14" s="160" t="str">
        <f>_xlfn.TEXTJOIN("; ",TRUE,_xlfn.UNIQUE(Hindamistabel!K52:K54))</f>
        <v>KKK</v>
      </c>
      <c r="G14" s="161" t="str">
        <f>_xlfn.TEXTJOIN("; ",TRUE,Hindamistabel!L52:L54)</f>
        <v>puuduvad vihjed välistele surveteguritele (kuid on vihje sarvikpütile, kes pesitseb teadaolevalt väljaspool MKA-d ja HA-d)</v>
      </c>
    </row>
    <row r="15" spans="1:7" ht="102.75" x14ac:dyDescent="0.4">
      <c r="A15" s="158" t="s">
        <v>171</v>
      </c>
      <c r="B15" s="159" t="s">
        <v>104</v>
      </c>
      <c r="C15" s="159" t="s">
        <v>170</v>
      </c>
      <c r="D15" s="171" t="s">
        <v>172</v>
      </c>
      <c r="E15" s="160" t="str">
        <f>IF(Hindamistabel!J55=TRUE,"Kaitse-eesmärke ei ole seatud",IF(Hindamistabel!J56=TRUE,"Riiklikud või piirkondlikud kaitse-eesmärgid on seatud (nt liigi või elupaiga tegevuskavas vm), kuid ala-spetsiifilisi eesmärke ei ole määratud. ",IF(Hindamistabel!J57=TRUE,"Ala-spetsiifilised kaitse-eesmärgid on seatud vähem kui pooltele (&lt;50%) kaitseväärtusele",IF(Hindamistabel!J58=TRUE,"Ala-spetsiifilised kaitse-eesmärgid on seatud pooltele või enamale (50% - &lt;100%) kaitseväärtustest",IF(Hindamistabel!J59=TRUE,"Ala-spetsiifilised kaitse-eesmärgid on seatud kõikidele kaitseväärtustele","")))))</f>
        <v>Ala-spetsiifilised kaitse-eesmärgid on seatud pooltele või enamale (50% - &lt;100%) kaitseväärtustest</v>
      </c>
      <c r="F15" s="160" t="str">
        <f>_xlfn.TEXTJOIN("; ",TRUE,_xlfn.UNIQUE(Hindamistabel!K55:K59))</f>
        <v>KKK</v>
      </c>
      <c r="G15" s="161" t="str">
        <f>_xlfn.TEXTJOIN("; ",TRUE,Hindamistabel!L55:L59)</f>
        <v>tüübile 1110, mis oli juba KKK koostamise ajal HA kaitseväärtus ja on nüüd ka MKA kaitseväärtus, ei ole kaitse-eesmärki seatud</v>
      </c>
    </row>
    <row r="16" spans="1:7" ht="153.75" x14ac:dyDescent="0.4">
      <c r="A16" s="158" t="s">
        <v>180</v>
      </c>
      <c r="B16" s="159" t="s">
        <v>104</v>
      </c>
      <c r="C16" s="159" t="s">
        <v>170</v>
      </c>
      <c r="D16" s="171" t="s">
        <v>181</v>
      </c>
      <c r="E16" s="160" t="str">
        <f>IF(Hindamistabel!J60=TRUE,"Kaitse-eesmärgid ei täpsusta elupaikade/liikide soovitavat seisundit",IF(Hindamistabel!J61=TRUE,"Kaitse-eesmärkidega täpsustati elupaikade/liikide soovitavat seisundit, kuid kaitse-eesmärkide sihtväärtused ei ole kvantifitseeritud ega ajaliselt piiritletud. / Konkreetsed eesmärgid on vähem kui pooltel (&lt;50%) kaitseväärtustel.",IF(Hindamistabel!J62=TRUE,"Kaitse-eesmärkidega täpsustati elupaikade/liikide soovitavat seisundit. Sihtväärtused on kas kvantifitseeritud või ajaliselt piiritletud. / Konkreetsed eesmärgid on pooltel või enamal (50% - &lt;100%) kaitseväärtustest.",IF(Hindamistabel!J63=TRUE,"Kaitse-eesmärkidega täpsustati kõigi elupaikade/liikide soovitavat seisundit. Sihtväärtused on nii kvantifitseeritud kui ajaliselt piiritletud.",""))))</f>
        <v>Kaitse-eesmärkidega täpsustati elupaikade/liikide soovitavat seisundit. Sihtväärtused on kas kvantifitseeritud või ajaliselt piiritletud. / Konkreetsed eesmärgid on pooltel või enamal (50% - &lt;100%) kaitseväärtustest.</v>
      </c>
      <c r="F16" s="160" t="str">
        <f>_xlfn.TEXTJOIN("; ",TRUE,_xlfn.UNIQUE(Hindamistabel!K60:K63))</f>
        <v>KKK</v>
      </c>
      <c r="G16" s="161" t="str">
        <f>_xlfn.TEXTJOIN("; ",TRUE,Hindamistabel!L60:L63)</f>
        <v>KKK on koostatud Kasti lahe loodus- ja linnuala kohta ning kaitse-eesmärgid ei erista siseriiklike kaitstavaid alasid (MKA, HA, PEP); kaitse-eesmärgid on kohati üldsõnalised (nt pole pindala alati numbriliselt välja toodud)</v>
      </c>
    </row>
    <row r="17" spans="1:7" ht="128.25" x14ac:dyDescent="0.4">
      <c r="A17" s="158" t="s">
        <v>187</v>
      </c>
      <c r="B17" s="159" t="s">
        <v>104</v>
      </c>
      <c r="C17" s="159" t="s">
        <v>170</v>
      </c>
      <c r="D17" s="171" t="s">
        <v>188</v>
      </c>
      <c r="E17" s="160" t="str">
        <f>IF(Hindamistabel!J64=TRUE,"Ei ole asjakohane (alal puuduvad vastavad kaitseväärtused)",IF(Hindamistabel!J65=TRUE,"Ei",IF(Hindamistabel!J66=TRUE,"Jah","")))</f>
        <v>Jah</v>
      </c>
      <c r="F17" s="160" t="str">
        <f>_xlfn.TEXTJOIN("; ",TRUE,_xlfn.UNIQUE(Hindamistabel!K64:K66))</f>
        <v>KKK</v>
      </c>
      <c r="G17" s="161" t="str">
        <f>_xlfn.TEXTJOIN("; ",TRUE,Hindamistabel!L64:L66)</f>
        <v>KKK koostamise ajal oli kaitseala üheks kaitseväärtuseks pärandkultuurmaastik; KKK seab maastikule kaitse-eesmärgi "maastiku rekreatiivne väärtus on säilinud"</v>
      </c>
    </row>
    <row r="18" spans="1:7" ht="105" x14ac:dyDescent="0.4">
      <c r="A18" s="158" t="s">
        <v>193</v>
      </c>
      <c r="B18" s="159" t="s">
        <v>104</v>
      </c>
      <c r="C18" s="159" t="s">
        <v>170</v>
      </c>
      <c r="D18" s="171" t="s">
        <v>194</v>
      </c>
      <c r="E18" s="160" t="str">
        <f>IF(Hindamistabel!J67=TRUE,"Ei ole asjakohane (alal puuduvad vastavad väärtused)",IF(Hindamistabel!J68=TRUE,"Ei",IF(Hindamistabel!J69=TRUE,"Jah","")))</f>
        <v>Jah</v>
      </c>
      <c r="F18" s="160" t="str">
        <f>_xlfn.TEXTJOIN("; ",TRUE,_xlfn.UNIQUE(Hindamistabel!K67:K69))</f>
        <v>KKK, MaRu</v>
      </c>
      <c r="G18" s="161" t="str">
        <f>_xlfn.TEXTJOIN("; ",TRUE,Hindamistabel!L67:L69)</f>
        <v>kaitse-eesmärgid on seatud rekreatiivselete väärtustele; pärandkultuuriobjekte kaitsealal teada ei ole</v>
      </c>
    </row>
    <row r="19" spans="1:7" ht="105" x14ac:dyDescent="0.4">
      <c r="A19" s="158" t="s">
        <v>197</v>
      </c>
      <c r="B19" s="159" t="s">
        <v>104</v>
      </c>
      <c r="C19" s="159" t="s">
        <v>196</v>
      </c>
      <c r="D19" s="171" t="s">
        <v>198</v>
      </c>
      <c r="E19" s="160" t="str">
        <f>IF(Hindamistabel!J70=TRUE,"Jah, täiendav sekkumine on vajalik",IF(Hindamistabel!J71=TRUE,"Ei, täiendav sekkumine ei ole vajalik",""))</f>
        <v>Jah, täiendav sekkumine on vajalik</v>
      </c>
      <c r="F19" s="160" t="str">
        <f>_xlfn.TEXTJOIN("; ",TRUE,_xlfn.UNIQUE(Hindamistabel!K70:K71))</f>
        <v>RT, KKK</v>
      </c>
      <c r="G19" s="161" t="str">
        <f>_xlfn.TEXTJOIN("; ",TRUE,Hindamistabel!L70:L71)</f>
        <v>kaitseväärtuseks on muu hulgas poollooduslikud kooslused ehk pärandniidud</v>
      </c>
    </row>
    <row r="20" spans="1:7" ht="105" x14ac:dyDescent="0.4">
      <c r="A20" s="158" t="s">
        <v>202</v>
      </c>
      <c r="B20" s="159" t="s">
        <v>104</v>
      </c>
      <c r="C20" s="159" t="s">
        <v>196</v>
      </c>
      <c r="D20" s="171" t="s">
        <v>203</v>
      </c>
      <c r="E20" s="160" t="str">
        <f>IF(Hindamistabel!J72=TRUE,"Meetmeid ei ole seatud",IF(Hindamistabel!J73=TRUE,"Meetmed on seatud mõnedele (&lt;100%) asjakohastele kaitse-eesmärkidele.",IF(Hindamistabel!J74=TRUE,"Kaitsekorralduslikud meetmed on seatud kõikidele asjakohastele kaitse-eesmärkidele, kuid kõik meetmed ei ole SMART",IF(Hindamistabel!J75=TRUE,"Kaitsekorralduslikud meetmed on seatud kõikidele asjakohastele kaitse-eesmärkidele. Kõik meetmed on SMART.",""))))</f>
        <v>Kaitsekorralduslikud meetmed on seatud kõikidele asjakohastele kaitse-eesmärkidele, kuid kõik meetmed ei ole SMART</v>
      </c>
      <c r="F20" s="160" t="str">
        <f>_xlfn.TEXTJOIN("; ",TRUE,_xlfn.UNIQUE(Hindamistabel!K72:K75))</f>
        <v>KKK</v>
      </c>
      <c r="G20" s="161" t="str">
        <f>_xlfn.TEXTJOIN("; ",TRUE,Hindamistabel!L72:L75)</f>
        <v>meetmena on nimetatud ka järelevalvet ja KMH-sid (ei ole SMART); eelarvetabelis need tegevused ei kajastu</v>
      </c>
    </row>
    <row r="21" spans="1:7" ht="102.75" x14ac:dyDescent="0.4">
      <c r="A21" s="158" t="s">
        <v>209</v>
      </c>
      <c r="B21" s="159" t="s">
        <v>104</v>
      </c>
      <c r="C21" s="159" t="s">
        <v>196</v>
      </c>
      <c r="D21" s="171" t="s">
        <v>210</v>
      </c>
      <c r="E21" s="160" t="str">
        <f>IF(Hindamistabel!J76=TRUE,"Ei ole asjakohane (teadaolevalt puudub vajadus tegevusteks väljaspool piire)",IF(Hindamistabel!J77=TRUE,"Info puudub/ei oska vastata (tegevuskavas ja hindajal puudub teave tegevuste ulatuse ja/või piiriüleste tegevuste vajaduse kohta)",IF(Hindamistabel!J78=TRUE,"Ei (teadaolevalt on vajadus tegevusteks väljaspool piire, kuid neid ei ole kavandatud)",IF(Hindamistabel!J79=TRUE,"Jah",""))))</f>
        <v>Jah</v>
      </c>
      <c r="F21" s="160" t="str">
        <f>_xlfn.TEXTJOIN("; ",TRUE,_xlfn.UNIQUE(Hindamistabel!K76:K79))</f>
        <v>KKK</v>
      </c>
      <c r="G21" s="161" t="str">
        <f>_xlfn.TEXTJOIN("; ",TRUE,Hindamistabel!L76:L79)</f>
        <v>KKK näeb ette Kasti maastikukaitseala, Kasti lahe hoiuala ja Tulpe merikotka püsielupaiga baasil Kasti looduskaitseala moodustamise</v>
      </c>
    </row>
    <row r="22" spans="1:7" ht="105" x14ac:dyDescent="0.4">
      <c r="A22" s="158" t="s">
        <v>215</v>
      </c>
      <c r="B22" s="159" t="s">
        <v>104</v>
      </c>
      <c r="C22" s="159" t="s">
        <v>196</v>
      </c>
      <c r="D22" s="171" t="s">
        <v>216</v>
      </c>
      <c r="E22" s="160" t="str">
        <f>IF(Hindamistabel!J80=TRUE,"Survetegurid ja meetmed ei ole selgelt seotud./Meetmed ei ole seotud peamiste surveteguritega",IF(Hindamistabel!J81=TRUE,"Vähem kui pooltel (&lt;50%) peamistel surveteguritel on vastav meede",IF(Hindamistabel!J82=TRUE,"Pooltel või enamal (50% - &lt;100%) peamistest surveteguritest on vastav meede",IF(Hindamistabel!J83=TRUE,"Kõikidel peamistel surveteguritel on vastav meede.",""))))</f>
        <v>Kõikidel peamistel surveteguritel on vastav meede.</v>
      </c>
      <c r="F22" s="160" t="str">
        <f>_xlfn.TEXTJOIN("; ",TRUE,_xlfn.UNIQUE(Hindamistabel!K80:K83))</f>
        <v>KKK</v>
      </c>
      <c r="G22" s="161" t="str">
        <f>_xlfn.TEXTJOIN("; ",TRUE,Hindamistabel!L80:L83)</f>
        <v>tekstis on rohkem tegevusi kui eelarvetabelis (tegevuskavas)</v>
      </c>
    </row>
    <row r="23" spans="1:7" ht="105" x14ac:dyDescent="0.4">
      <c r="A23" s="162">
        <v>7</v>
      </c>
      <c r="B23" s="155" t="s">
        <v>222</v>
      </c>
      <c r="C23" s="155" t="s">
        <v>223</v>
      </c>
      <c r="D23" s="170" t="s">
        <v>429</v>
      </c>
      <c r="E23" s="156" t="str">
        <f>IF(Hindamistabel!J84=TRUE,"Ei, kaitsekorraldusperioodil ei ole selgunud olulisi puudujääke teadmistes",IF(Hindamistabel!J85=TRUE,"Jah, välja saab tuua puudujääke ala kaitsekorraldusega seotud teadmistes.",""))</f>
        <v>Ei, kaitsekorraldusperioodil ei ole selgunud olulisi puudujääke teadmistes</v>
      </c>
      <c r="F23" s="156" t="str">
        <f>_xlfn.TEXTJOIN("; ",TRUE,_xlfn.UNIQUE(Hindamistabel!K84:K85))</f>
        <v>RT, KKK, EELIS, eksperdiarvamus</v>
      </c>
      <c r="G23" s="157" t="str">
        <f>_xlfn.TEXTJOIN("; ",TRUE,Hindamistabel!L84:L85)</f>
        <v>(hindaja arvamus)</v>
      </c>
    </row>
    <row r="24" spans="1:7" ht="157.5" x14ac:dyDescent="0.4">
      <c r="A24" s="162" t="s">
        <v>228</v>
      </c>
      <c r="B24" s="155" t="s">
        <v>222</v>
      </c>
      <c r="C24" s="155" t="s">
        <v>223</v>
      </c>
      <c r="D24" s="170" t="s">
        <v>229</v>
      </c>
      <c r="E24" s="156" t="str">
        <f>IF(Hindamistabel!J86=TRUE,"Küsimusele ei ole võimalik kaitsekorraldusperioodi antud etapis vastata",IF(Hindamistabel!J87=TRUE,"Ei - teostatud ja/või planeeritud seire/inventuurid/uuringud ei ole piisavad, et hinnata, kas tegevused olid tulemuslikud/kaitse-eesmärgid on saavutatud",IF(Hindamistabel!J88=TRUE,"Seire, inventuurid, uuringud võimaldab hinnata vähem kui poolte (&lt;50%) tegevuste tulemuslikkust/kaitse-eesmärkide saavutatust",IF(Hindamistabel!J89=TRUE,"Seire võimaldab hinnata poolte või enama (50%-&lt;100%) tegevuste tulemuslikkust/kaitse-eesmärkide saavutatust",IF(Hindamistabel!J90=TRUE,"Jah - seire on piisav, et hinnata, kas kõik tegevused olid tulemuslikud/kaitse-eesmärgid on saavutatud ","")))))</f>
        <v>Seire, inventuurid, uuringud võimaldab hinnata vähem kui poolte (&lt;50%) tegevuste tulemuslikkust/kaitse-eesmärkide saavutatust</v>
      </c>
      <c r="F24" s="156" t="str">
        <f>_xlfn.TEXTJOIN("; ",TRUE,_xlfn.UNIQUE(Hindamistabel!K86:K90))</f>
        <v>EELIS, KKK</v>
      </c>
      <c r="G24" s="157" t="str">
        <f>_xlfn.TEXTJOIN("; ",TRUE,Hindamistabel!L86:L90)</f>
        <v>koosluste kohta on teave enam-vähem olemas, kuid liikide osas on suuri puudujääke</v>
      </c>
    </row>
    <row r="25" spans="1:7" ht="105" x14ac:dyDescent="0.4">
      <c r="A25" s="162" t="s">
        <v>236</v>
      </c>
      <c r="B25" s="155" t="s">
        <v>222</v>
      </c>
      <c r="C25" s="155" t="s">
        <v>223</v>
      </c>
      <c r="D25" s="170" t="s">
        <v>430</v>
      </c>
      <c r="E25" s="163" t="str">
        <f>IF(Hindamistabel!J91&lt;&gt;"",Hindamistabel!J91,"")</f>
        <v>riiklikud seired siduda siseriiklike kaitstavate aladega; viia ellu KKK-s kavandatud linnustikuseired</v>
      </c>
      <c r="F25" s="156" t="str">
        <f>_xlfn.TEXTJOIN("; ",TRUE,_xlfn.UNIQUE(Hindamistabel!K91:K91))</f>
        <v>EELIS, KKK</v>
      </c>
      <c r="G25" s="157" t="str">
        <f>_xlfn.TEXTJOIN("; ",TRUE,Hindamistabel!L91:L91)</f>
        <v xml:space="preserve">riiklikke seireid ja linnustikuseireid kas ei ole tehtud või ei ole nende tulemusi sisestatud EELIS-esse </v>
      </c>
    </row>
    <row r="26" spans="1:7" ht="78.75" x14ac:dyDescent="0.4">
      <c r="A26" s="162">
        <v>9</v>
      </c>
      <c r="B26" s="155" t="s">
        <v>222</v>
      </c>
      <c r="C26" s="155" t="s">
        <v>223</v>
      </c>
      <c r="D26" s="170" t="s">
        <v>240</v>
      </c>
      <c r="E26" s="156" t="str">
        <f>IF(Hindamistabel!J92=TRUE,"Ei - seire tulemused ei ole olnud sisendiks kaitsekorralduslikele tegevustele",IF(Hindamistabel!J93=TRUE,"Seiretulemusi on vähesel määral/üksikjuhtumitel kasutatud ala kaitse korralduse/meetmete kohandamiseks",IF(Hindamistabel!J94=TRUE,"Seiretulemusi on suures osas kasutatud ala kaitse korralduse/meetmete kohandamiseks",IF(Hindamistabel!J95=TRUE,"Jah - seiretulemusi kasutatakse regulaarselt, et kohandada ala kaitse korraldust/meetmeid",""))))</f>
        <v>Seiretulemusi on suures osas kasutatud ala kaitse korralduse/meetmete kohandamiseks</v>
      </c>
      <c r="F26" s="156" t="str">
        <f>_xlfn.TEXTJOIN("; ",TRUE,_xlfn.UNIQUE(Hindamistabel!K92:K95))</f>
        <v>RT</v>
      </c>
      <c r="G26" s="157" t="str">
        <f>_xlfn.TEXTJOIN("; ",TRUE,Hindamistabel!L92:L95)</f>
        <v>2018. a kinnitati uus kaitse-eeskiri (sh nimetati täpsemalt kaitseväärtused) ja laiendati pisut kaitseala</v>
      </c>
    </row>
    <row r="27" spans="1:7" ht="128.25" x14ac:dyDescent="0.4">
      <c r="A27" s="162" t="s">
        <v>247</v>
      </c>
      <c r="B27" s="155" t="s">
        <v>222</v>
      </c>
      <c r="C27" s="155" t="s">
        <v>246</v>
      </c>
      <c r="D27" s="170" t="s">
        <v>248</v>
      </c>
      <c r="E27" s="156" t="str">
        <f>IF(Hindamistabel!J96=TRUE,"Ei ole asjakohane",IF(Hindamistabel!J97=TRUE,"Ei - huvirühmi ei kaasatud",IF(Hindamistabel!J98=TRUE,"Jah, huvirühmi kaasati, kuid osad asjakohased huvirühmad jäid kaasamata ja/või kaasamine toimus pigem informeerimise mitte konsulteerimise tasemel",IF(Hindamistabel!J99=TRUE,"Jah - huvirühmi kaasati",""))))</f>
        <v>Jah - huvirühmi kaasati</v>
      </c>
      <c r="F27" s="156" t="str">
        <f>_xlfn.TEXTJOIN("; ",TRUE,_xlfn.UNIQUE(Hindamistabel!K96:K99))</f>
        <v>EELIS, KKK</v>
      </c>
      <c r="G27" s="157" t="str">
        <f>_xlfn.TEXTJOIN("; ",TRUE,Hindamistabel!L96:L99)</f>
        <v>KKK koostas Consultare OÜ;  koostamise töörühma kuulusid Kristo Kiiker, Meeli Mesipuu, Fred Peetersoo jaTiina Kiiker;  kaasamiskoosolek toimus 17.08.2010 Vaivere Seltsimajas.</v>
      </c>
    </row>
    <row r="28" spans="1:7" ht="131.25" x14ac:dyDescent="0.4">
      <c r="A28" s="162" t="s">
        <v>255</v>
      </c>
      <c r="B28" s="155" t="s">
        <v>222</v>
      </c>
      <c r="C28" s="155" t="s">
        <v>246</v>
      </c>
      <c r="D28" s="170" t="s">
        <v>256</v>
      </c>
      <c r="E28" s="156" t="str">
        <f>IF(Hindamistabel!J100=TRUE,"Ei ole asjakohane",IF(Hindamistabel!J101=TRUE,"Ei - huvirühmi ei kaasatud",IF(Hindamistabel!J102=TRUE,"Jah, huvirühmi kaasati, kuid mõned asjakohased huvirühmad jäid kaasamata ja/või kaasamine toimus pigem informeerimise mitte konsulteerimise tasemel",IF(Hindamistabel!J103=TRUE,"Jah - huvirühmi kaasati",""))))</f>
        <v>Jah, huvirühmi kaasati, kuid mõned asjakohased huvirühmad jäid kaasamata ja/või kaasamine toimus pigem informeerimise mitte konsulteerimise tasemel</v>
      </c>
      <c r="F28" s="156" t="str">
        <f>_xlfn.TEXTJOIN("; ",TRUE,_xlfn.UNIQUE(Hindamistabel!K100:K103))</f>
        <v>KKK</v>
      </c>
      <c r="G28" s="157" t="str">
        <f>_xlfn.TEXTJOIN("; ",TRUE,Hindamistabel!L100:L103)</f>
        <v>KKK-s mainitakse ühe huvigrupina RMK-d, kuid kusagil ei kajastu RMK kaasamine, kuigi ligi pool kaitseala maast on riigimaa, mida haldab RMK.</v>
      </c>
    </row>
    <row r="29" spans="1:7" ht="204.75" x14ac:dyDescent="0.4">
      <c r="A29" s="162" t="s">
        <v>259</v>
      </c>
      <c r="B29" s="155" t="s">
        <v>222</v>
      </c>
      <c r="C29" s="155" t="s">
        <v>246</v>
      </c>
      <c r="D29" s="170" t="s">
        <v>260</v>
      </c>
      <c r="E29" s="156" t="str">
        <f>IF(Hindamistabel!J104=TRUE,"Ei oska vastata",IF(Hindamistabel!J105=TRUE,"Jah - tekkis konflikte",IF(Hindamistabel!J106=TRUE,"Ei - konflikte ei tekkinud ","")))</f>
        <v>Jah - tekkis konflikte</v>
      </c>
      <c r="F29" s="156" t="str">
        <f>_xlfn.TEXTJOIN("; ",TRUE,_xlfn.UNIQUE(Hindamistabel!K104:K106))</f>
        <v>KIRKE, RT, KKK</v>
      </c>
      <c r="G29" s="157" t="str">
        <f>_xlfn.TEXTJOIN("; ",TRUE,Hindamistabel!L104:L106)</f>
        <v>KKK koosoleku (17.08.2010) protokollis ja kaitse-eeskirja eelnõu koosoleku (13.06.2017) protokollis ükski vastasseis ei kajastu, kuid eelnõu seletuskirjas on viide ühele maaomanikule, kes ei soovinud oma seni hoiualal oleva maa arvamist kaitseala koosseisu, kuna soovis jätkata linnujahiga oma maal</v>
      </c>
    </row>
    <row r="30" spans="1:7" ht="281.25" x14ac:dyDescent="0.4">
      <c r="A30" s="162" t="s">
        <v>265</v>
      </c>
      <c r="B30" s="155" t="s">
        <v>222</v>
      </c>
      <c r="C30" s="155" t="s">
        <v>246</v>
      </c>
      <c r="D30" s="170" t="s">
        <v>431</v>
      </c>
      <c r="E30" s="156" t="str">
        <f>_xlfn.TEXTJOIN("; ",TRUE,
 IF(Hindamistabel!J107=TRUE,"kaitsekorra/piirangute rangus",""),
 IF(Hindamistabel!J108=TRUE,"kaitseala piirid",""),
 IF(Hindamistabel!J109=TRUE,"meetmetega seotud mõjud",""),
 IF(Hindamistabel!J110=TRUE,"külastuskorraldus",""),
 IF(Hindamistabel!J111=TRUE,"ebapiisav kompenseerimine",""),
 IF(Hindamistabel!J112=TRUE,"vastuseis alal lubatud või läbi viidud tegevustele",""),
 IF(Hindamistabel!J113=TRUE, Hindamistabel!L113,""))</f>
        <v>kaitsekorra/piirangute rangus; kaitseala piirid; meetmetega seotud mõjud</v>
      </c>
      <c r="F30" s="156" t="str">
        <f>_xlfn.TEXTJOIN("; ",TRUE,_xlfn.UNIQUE(Hindamistabel!K107:K113))</f>
        <v>RT; KIRKE</v>
      </c>
      <c r="G30" s="157" t="str">
        <f>_xlfn.TEXTJOIN("; ",TRUE,Hindamistabel!L107:L113)</f>
        <v>eelnõu seletuskirja järgi soovis üks maaomanik oma maal jätkata linnujahiga, kuid kaitsealal see keelati; eelnõu seletuskirja järgi ei soovinud üks maaomanik oma maa arvamist hoiualast kaitsealasse, kuna tahtis jätkata linnujahiga, mis kaitsealal keelati; kaitse-eeskirja eelnõu koosolekul avaldasid maaomanikud muret karjatamise üle, kuid mure sisu protokollis ei avane (16.06.2017 nr 1-10/17/46)</v>
      </c>
    </row>
    <row r="31" spans="1:7" ht="357.75" x14ac:dyDescent="0.4">
      <c r="A31" s="158" t="s">
        <v>274</v>
      </c>
      <c r="B31" s="159" t="s">
        <v>273</v>
      </c>
      <c r="C31" s="159" t="s">
        <v>196</v>
      </c>
      <c r="D31" s="171" t="s">
        <v>275</v>
      </c>
      <c r="E31" s="160" t="str">
        <f>IF(Hindamistabel!J114=TRUE,"Ei ole asjakohane",IF(Hindamistabel!J115=TRUE,"Kõik või enamik (≥90%) planeeritud taastamistöödest on ellu viidud.",IF(Hindamistabel!J116=TRUE,"Üle poole (50-90%) planeeritud taastamistöödest on rakendatud.",IF(Hindamistabel!J117=TRUE,"Vähem kui pool (&lt;50%) planeeritud taastamistöödest on rakendatud",IF(Hindamistabel!J118=TRUE,"Ükski planeeritud taastamistöö ei ole rakendatud","")))))</f>
        <v>Ei ole asjakohane</v>
      </c>
      <c r="F31" s="160" t="str">
        <f>_xlfn.TEXTJOIN("; ",TRUE,_xlfn.UNIQUE(Hindamistabel!K114:K118))</f>
        <v>KKK, KeA, RMK</v>
      </c>
      <c r="G31" s="161" t="str">
        <f>_xlfn.TEXTJOIN("; ",TRUE,Hindamistabel!L114:L118)</f>
        <v>KKK kaitsealal taastamistegevusi ette ei näe, kuid 2015. a on viidud "hooldusnõuetele vastavusse" 2,95 ha rannaniitu (läks pärast hooldusse), 2019. a on puhastatud tihedast pilliroost 3,05 ha rannaniitu (ei läinud pärast hooldusse) ja 2020. a on sealsamas jätkatud 0,99 ha rannaniidu puhastamist tihedast pilliroost (läks pooleldi hooldusse); RMK on 2016. a taastanud kadastikku 8,56 ha, 2021. a aruniitu ja puiskarjamaad kokku 0,34 ha ning samal aastal lisaks aruniitu ja puiskarjamaad kokku 1,11 ha (kõik on hiljem valdavalt ka hoolduses)</v>
      </c>
    </row>
    <row r="32" spans="1:7" ht="131.25" x14ac:dyDescent="0.4">
      <c r="A32" s="158" t="s">
        <v>282</v>
      </c>
      <c r="B32" s="159" t="s">
        <v>273</v>
      </c>
      <c r="C32" s="159" t="s">
        <v>196</v>
      </c>
      <c r="D32" s="171" t="s">
        <v>283</v>
      </c>
      <c r="E32" s="160" t="str">
        <f>IF(Hindamistabel!J119=TRUE,"Ei ole asjakohane",IF(Hindamistabel!J120=TRUE,"Kõik või enamik (≥90%) planeeritud taastamistöödest on ellu viidud.",IF(Hindamistabel!J121=TRUE,"Üle poole (50-90%) planeeritud taastamistöödest on rakendatud.",IF(Hindamistabel!J122=TRUE,"Vähem kui pool (&lt;50%) planeeritud taastamistöödest on rakendatud",IF(Hindamistabel!J123=TRUE,"Ükski planeeritud taastamistöö ei ole rakendatud","")))))</f>
        <v>Ei ole asjakohane</v>
      </c>
      <c r="F32" s="160" t="str">
        <f>_xlfn.TEXTJOIN("; ",TRUE,_xlfn.UNIQUE(Hindamistabel!K119:K123))</f>
        <v>KKK</v>
      </c>
      <c r="G32" s="161" t="str">
        <f>_xlfn.TEXTJOIN("; ",TRUE,Hindamistabel!L119:L123)</f>
        <v>KKK märgalade ja veekogudega seotud taastamistöid ette ei näe</v>
      </c>
    </row>
    <row r="33" spans="1:7" ht="128.25" x14ac:dyDescent="0.4">
      <c r="A33" s="158" t="s">
        <v>285</v>
      </c>
      <c r="B33" s="159" t="s">
        <v>273</v>
      </c>
      <c r="C33" s="159" t="s">
        <v>196</v>
      </c>
      <c r="D33" s="171" t="s">
        <v>286</v>
      </c>
      <c r="E33" s="160" t="str">
        <f>IF(Hindamistabel!J124=TRUE,"Ei ole asjakohane",IF(Hindamistabel!J125=TRUE,"Kõik või enamik (≥90%) hooldust vajavate koosluste pindalast on hooldusesse võetud.",IF(Hindamistabel!J126=TRUE,"Üle poole (50-90%) hooldusest vajavate koosluste pindalast on hooldusesse võetud.",IF(Hindamistabel!J127=TRUE,"Vähem kui pool (&lt;50%) hooldust vajavate koosluste pindalast on hooldusesse võetud.",IF(Hindamistabel!J128=TRUE,"Ükski planeeritud hooldamistöö ei ole rakendatud","")))))</f>
        <v>Üle poole (50-90%) hooldusest vajavate koosluste pindalast on hooldusesse võetud.</v>
      </c>
      <c r="F33" s="160" t="str">
        <f>_xlfn.TEXTJOIN("; ",TRUE,_xlfn.UNIQUE(Hindamistabel!K124:K128))</f>
        <v>EELIS</v>
      </c>
      <c r="G33" s="161" t="str">
        <f>_xlfn.TEXTJOIN("; ",TRUE,Hindamistabel!L124:L128)</f>
        <v>EELIS-e järgi on kaitsealal poollooduslikke kooslusi 189,04 ha, millest oli 2025. a hoolduses 95,01 ha e 50,3% (2012. a oli hoolduses 114,59% e 60,6%)</v>
      </c>
    </row>
    <row r="34" spans="1:7" ht="52.5" x14ac:dyDescent="0.4">
      <c r="A34" s="158" t="s">
        <v>293</v>
      </c>
      <c r="B34" s="159" t="s">
        <v>273</v>
      </c>
      <c r="C34" s="159" t="s">
        <v>196</v>
      </c>
      <c r="D34" s="171" t="s">
        <v>294</v>
      </c>
      <c r="E34" s="160" t="str">
        <f>IF(Hindamistabel!J129=TRUE,"Ei ole asjakohane",IF(Hindamistabel!J130=TRUE,"Kõik või enamik (≥90%) planeeritud meetmetest on ellu viidud. Kõik meetme aspektid on täidetud ja rakendatud.",IF(Hindamistabel!J131=TRUE,"Üle poole (50-90%) planeeritud meetmetest on rakendatud.",IF(Hindamistabel!J132=TRUE,"Vähem kui pool (&lt;50%) planeeritud meetmetest on rakendatud",IF(Hindamistabel!J133=TRUE,"Ükski planeeritud meetmetest ei ole rakendatud","")))))</f>
        <v>Ei ole asjakohane</v>
      </c>
      <c r="F34" s="160" t="str">
        <f>_xlfn.TEXTJOIN("; ",TRUE,_xlfn.UNIQUE(Hindamistabel!K129:K133))</f>
        <v>KKK</v>
      </c>
      <c r="G34" s="161" t="str">
        <f>_xlfn.TEXTJOIN("; ",TRUE,Hindamistabel!L129:L133)</f>
        <v>KKK liigikaitselisi töid ette ei näe</v>
      </c>
    </row>
    <row r="35" spans="1:7" ht="131.25" x14ac:dyDescent="0.4">
      <c r="A35" s="158" t="s">
        <v>299</v>
      </c>
      <c r="B35" s="159" t="s">
        <v>273</v>
      </c>
      <c r="C35" s="159" t="s">
        <v>196</v>
      </c>
      <c r="D35" s="171" t="s">
        <v>300</v>
      </c>
      <c r="E35" s="160" t="str">
        <f>IF(Hindamistabel!J134=TRUE,"Ei ole asjakohane",IF(Hindamistabel!J135=TRUE,"Kõik või enamik (≥90%) planeeritud meetmetest on ellu viidud. Kõik meetme aspektid on täidetud ja rakendatud.",IF(Hindamistabel!J136=TRUE,"Üle poole (50-90%) planeeritud meetmetest on rakendatud.",IF(Hindamistabel!J137=TRUE,"Vähem kui pool (&lt;50%) planeeritud meetmetest on rakendatud",IF(Hindamistabel!J138=TRUE,"Ükski planeeritud meetmetest ei ole rakendatud","")))))</f>
        <v>Ükski planeeritud meetmetest ei ole rakendatud</v>
      </c>
      <c r="F35" s="160" t="str">
        <f>_xlfn.TEXTJOIN("; ",TRUE,_xlfn.UNIQUE(Hindamistabel!K134:K138))</f>
        <v>KKK</v>
      </c>
      <c r="G35" s="161" t="str">
        <f>_xlfn.TEXTJOIN("; ",TRUE,Hindamistabel!L134:L138)</f>
        <v>KKK näeb ette rebaste arvukuse vähendamise väikesaartel ja laidudel, kuid puudub teave rebaste küttimise kohta</v>
      </c>
    </row>
    <row r="36" spans="1:7" ht="102.75" x14ac:dyDescent="0.4">
      <c r="A36" s="158" t="s">
        <v>301</v>
      </c>
      <c r="B36" s="159" t="s">
        <v>273</v>
      </c>
      <c r="C36" s="159" t="s">
        <v>196</v>
      </c>
      <c r="D36" s="171" t="s">
        <v>302</v>
      </c>
      <c r="E36" s="164" t="str">
        <f>IF(Hindamistabel!J139&lt;&gt;"",Hindamistabel!J139,"")</f>
        <v>poollooduslikest kooslustest on ligi pool hooldamata (karjatamata) ja rebased on ilmselt ohjamata (vastav info puudub)</v>
      </c>
      <c r="F36" s="160" t="str">
        <f>_xlfn.TEXTJOIN("; ",TRUE,_xlfn.UNIQUE(Hindamistabel!K139:K139))</f>
        <v>EELIS, KeA</v>
      </c>
      <c r="G36" s="161" t="str">
        <f>_xlfn.TEXTJOIN("; ",TRUE,Hindamistabel!L139:L139)</f>
        <v>ilmselt puudub maaomanikel motivatsioon oma maad hooldada (või seda hooldada lasta) ning jahimeestel puudub motivatsioon rebaseid küttida</v>
      </c>
    </row>
    <row r="37" spans="1:7" ht="52.5" x14ac:dyDescent="0.4">
      <c r="A37" s="158" t="s">
        <v>304</v>
      </c>
      <c r="B37" s="159" t="s">
        <v>273</v>
      </c>
      <c r="C37" s="159" t="s">
        <v>196</v>
      </c>
      <c r="D37" s="171" t="s">
        <v>305</v>
      </c>
      <c r="E37" s="160" t="str">
        <f>IF(Hindamistabel!J140=TRUE,"Kõik või enamik (≥90%) planeeritud meetmetest on ellu viidud. Kõik meetme aspektid on täidetud ja rakendatud.",IF(Hindamistabel!J141=TRUE,"Üle poole (50-90%) planeeritud meetmetest on rakendatud.",IF(Hindamistabel!J142=TRUE,"Vähem kui pool (&lt;50%) planeeritud meetmetest on rakendatud",IF(Hindamistabel!J143=TRUE,"Ükski planeeritud meetmetest ei ole rakendatud",IF(Hindamistabel!J144=TRUE,"Ei ole asjakohane","")))))</f>
        <v>Vähem kui pool (&lt;50%) planeeritud meetmetest on rakendatud</v>
      </c>
      <c r="F37" s="160" t="str">
        <f>_xlfn.TEXTJOIN("; ",TRUE,_xlfn.UNIQUE(Hindamistabel!K140:K144))</f>
        <v>EELIS</v>
      </c>
      <c r="G37" s="161" t="str">
        <f>_xlfn.TEXTJOIN("; ",TRUE,Hindamistabel!L140:L144)</f>
        <v>liigiandmestik on jätkuvalt väga kesine</v>
      </c>
    </row>
    <row r="38" spans="1:7" ht="204.75" x14ac:dyDescent="0.4">
      <c r="A38" s="158" t="s">
        <v>307</v>
      </c>
      <c r="B38" s="159" t="s">
        <v>273</v>
      </c>
      <c r="C38" s="159" t="s">
        <v>196</v>
      </c>
      <c r="D38" s="171" t="s">
        <v>308</v>
      </c>
      <c r="E38" s="160" t="str">
        <f>IF(Hindamistabel!J145=TRUE,"Kõik või enamik (≥90%) planeeritud meetmetest on ellu viidud. Kõik meetme aspektid on täidetud ja rakendatud.",IF(Hindamistabel!J146=TRUE,"Üle poole (50-90%) planeeritud meetmetest on rakendatud.",IF(Hindamistabel!J147=TRUE,"Vähem kui pool (&lt;50%) planeeritud meetmetest on rakendatud",IF(Hindamistabel!J148=TRUE,"Ükski planeeritud meetmetest ei ole rakendatud",IF(Hindamistabel!J149=TRUE,"Ei ole asjakohane","")))))</f>
        <v>Vähem kui pool (&lt;50%) planeeritud meetmetest on rakendatud</v>
      </c>
      <c r="F38" s="160" t="str">
        <f>_xlfn.TEXTJOIN("; ",TRUE,_xlfn.UNIQUE(Hindamistabel!K145:K149))</f>
        <v>KKK, KeA</v>
      </c>
      <c r="G38" s="161" t="str">
        <f>_xlfn.TEXTJOIN("; ",TRUE,Hindamistabel!L145:L149)</f>
        <v>tulemuslikkuse vahehindamine ja Natura standardandmebaasi ajakohastamine on üldse tegemata, kaitse-eeskirja on 2018. a küll uuendatud, kuid "Kasti maastikukaitseala, Kasti lahe hoiuala ja Tulpe merikotka püsielupaiga baasil looduskaitseala moodustamine" on jätkuvalt tegemata</v>
      </c>
    </row>
    <row r="39" spans="1:7" ht="153.75" x14ac:dyDescent="0.4">
      <c r="A39" s="158" t="s">
        <v>310</v>
      </c>
      <c r="B39" s="159" t="s">
        <v>273</v>
      </c>
      <c r="C39" s="159" t="s">
        <v>196</v>
      </c>
      <c r="D39" s="171" t="s">
        <v>311</v>
      </c>
      <c r="E39" s="160" t="str">
        <f>IF(Hindamistabel!J150=TRUE,"Kõik või enamik (≥90%) planeeritud meetmetest on ellu viidud. Kõik meetme aspektid on täidetud ja rakendatud.",IF(Hindamistabel!J151=TRUE,"Üle poole (50-90%) planeeritud meetmetest on rakendatud.",IF(Hindamistabel!J152=TRUE,"Vähem kui pool (&lt;50%) planeeritud meetmetest on rakendatud",IF(Hindamistabel!J153=TRUE,"Ükski planeeritud meetmetest ei ole rakendatud",IF(Hindamistabel!J154=TRUE,"Ei ole asjakohane","")))))</f>
        <v>Ükski planeeritud meetmetest ei ole rakendatud</v>
      </c>
      <c r="F39" s="160" t="str">
        <f>_xlfn.TEXTJOIN("; ",TRUE,_xlfn.UNIQUE(Hindamistabel!K150:K154))</f>
        <v>MaRu</v>
      </c>
      <c r="G39" s="161" t="str">
        <f>_xlfn.TEXTJOIN("; ",TRUE,Hindamistabel!L150:L154)</f>
        <v>KKK-ga ette nähtud "infostend Kasti MKA parklasse" on külastustaristu virtuaalkontori järgi jätkuvalt "planeeritav"; kaitseala välispiir on ilmselt tähistamata (KKK räägib osalisest tähistatusest ja tähiste uuendamisest vajaduse korral)</v>
      </c>
    </row>
    <row r="40" spans="1:7" ht="105" x14ac:dyDescent="0.4">
      <c r="A40" s="158" t="s">
        <v>314</v>
      </c>
      <c r="B40" s="159" t="s">
        <v>273</v>
      </c>
      <c r="C40" s="159" t="s">
        <v>196</v>
      </c>
      <c r="D40" s="171" t="s">
        <v>315</v>
      </c>
      <c r="E40" s="164" t="str">
        <f>IF(Hindamistabel!J155&lt;&gt;"",Hindamistabel!J155,"")</f>
        <v>kuigi KKK poollooduslike koosluste taastamisi kaitsealal ette ei näinud, on seda mingil määral siiski tehtud</v>
      </c>
      <c r="F40" s="160" t="str">
        <f>_xlfn.TEXTJOIN("; ",TRUE,_xlfn.UNIQUE(Hindamistabel!K155:K155))</f>
        <v>KKK, KeA, RMK</v>
      </c>
      <c r="G40" s="161" t="str">
        <f>_xlfn.TEXTJOIN("; ",TRUE,Hindamistabel!L155:L155)</f>
        <v>(vt küsimuse 12a selgitust)</v>
      </c>
    </row>
    <row r="41" spans="1:7" ht="102.75" x14ac:dyDescent="0.4">
      <c r="A41" s="158" t="s">
        <v>318</v>
      </c>
      <c r="B41" s="159" t="s">
        <v>273</v>
      </c>
      <c r="C41" s="159" t="s">
        <v>317</v>
      </c>
      <c r="D41" s="171" t="s">
        <v>418</v>
      </c>
      <c r="E41" s="160" t="str">
        <f>IF(Hindamistabel!J156=TRUE,"Kõigi või enamiku (≥90%) (suunis)liikide seisund on stabiilne või paranenud",IF(Hindamistabel!J157=TRUE,"Üle poolte (50-90%) (suunis)liikide seisund on stabiilne või paranenud.",IF(Hindamistabel!J158=TRUE,"Vähem kui poolte (&lt;50%) (suunis)liikide seisund on stabiilne või paranenud ",IF(Hindamistabel!J159=TRUE,"Ühegi kaitseväärtuse seisund ei ole stabiilne või paranenud ",IF(Hindamistabel!J160=TRUE,"Pole asjakohane (liigid ei ole kaitse-eesmärgiks) ","")))))</f>
        <v xml:space="preserve">Vähem kui poolte (&lt;50%) (suunis)liikide seisund on stabiilne või paranenud </v>
      </c>
      <c r="F41" s="160" t="str">
        <f>_xlfn.TEXTJOIN("; ",TRUE,_xlfn.UNIQUE(Hindamistabel!K156:K160))</f>
        <v>RT, EELIS</v>
      </c>
      <c r="G41" s="161" t="str">
        <f>_xlfn.TEXTJOIN("; ",TRUE,Hindamistabel!L156:L160)</f>
        <v>niidurüdi elupaik on 2025. a arhiveeritud, vööt-põõsalinnu ja viupardi kohta info puudub, emaputke ja liht-randpunga on ka pärast 2009. a mõnes kohas leitud</v>
      </c>
    </row>
    <row r="42" spans="1:7" ht="78.75" x14ac:dyDescent="0.4">
      <c r="A42" s="158" t="s">
        <v>322</v>
      </c>
      <c r="B42" s="159" t="s">
        <v>273</v>
      </c>
      <c r="C42" s="159" t="s">
        <v>317</v>
      </c>
      <c r="D42" s="171" t="s">
        <v>432</v>
      </c>
      <c r="E42" s="164" t="str">
        <f>IF(Hindamistabel!J161&lt;&gt;"",Hindamistabel!J161,"")</f>
        <v/>
      </c>
      <c r="F42" s="160" t="str">
        <f>IF(Hindamistabel!K161&lt;&gt;"",Hindamistabel!K161,"")</f>
        <v/>
      </c>
      <c r="G42" s="161" t="str">
        <f>IF(Hindamistabel!L161&lt;&gt;"",Hindamistabel!L161,"")</f>
        <v/>
      </c>
    </row>
    <row r="43" spans="1:7" ht="52.5" x14ac:dyDescent="0.4">
      <c r="A43" s="158" t="s">
        <v>325</v>
      </c>
      <c r="B43" s="159" t="s">
        <v>273</v>
      </c>
      <c r="C43" s="159" t="s">
        <v>317</v>
      </c>
      <c r="D43" s="171" t="s">
        <v>433</v>
      </c>
      <c r="E43" s="164" t="str">
        <f>IF(Hindamistabel!J162&lt;&gt;"",Hindamistabel!J162,"")</f>
        <v>niidurüdi, vööt-põõsalind ja viupart</v>
      </c>
      <c r="F43" s="160" t="str">
        <f>IF(Hindamistabel!K162&lt;&gt;"",Hindamistabel!K162,"")</f>
        <v>RT, EELIS</v>
      </c>
      <c r="G43" s="161" t="str">
        <f>IF(Hindamistabel!L162&lt;&gt;"",Hindamistabel!L162,"")</f>
        <v>(viiest suunisliigist kolme kohta uuem info puudub)</v>
      </c>
    </row>
    <row r="44" spans="1:7" ht="183.75" x14ac:dyDescent="0.4">
      <c r="A44" s="158" t="s">
        <v>328</v>
      </c>
      <c r="B44" s="159" t="s">
        <v>273</v>
      </c>
      <c r="C44" s="159" t="s">
        <v>317</v>
      </c>
      <c r="D44" s="171" t="s">
        <v>434</v>
      </c>
      <c r="E44" s="164" t="str">
        <f>IF(Hindamistabel!J163&lt;&gt;"",Hindamistabel!J163,"")</f>
        <v>linnustikku mõjutab ilmselt enim väikekiskjate kõrge arvukus ja piisavalt ulatuslike lagealade kahanemine ebapiisava hoolduse tõttu, kuid põhjus võib olla ka seireandmete puudumine või puudulikkus</v>
      </c>
      <c r="F44" s="160" t="str">
        <f>IF(Hindamistabel!K163&lt;&gt;"",Hindamistabel!K163,"")</f>
        <v>eksperdiarvamus</v>
      </c>
      <c r="G44" s="161" t="str">
        <f>IF(Hindamistabel!L163&lt;&gt;"",Hindamistabel!L163,"")</f>
        <v>vajalik on väikekiskjate ohjamine, suuremate lagealade taastamine ning asjakohased teadusuuringud (hindaja arvamus)</v>
      </c>
    </row>
    <row r="45" spans="1:7" ht="204.75" x14ac:dyDescent="0.4">
      <c r="A45" s="158" t="s">
        <v>331</v>
      </c>
      <c r="B45" s="159" t="s">
        <v>273</v>
      </c>
      <c r="C45" s="159" t="s">
        <v>317</v>
      </c>
      <c r="D45" s="171" t="s">
        <v>419</v>
      </c>
      <c r="E45" s="160" t="str">
        <f>IF(Hindamistabel!J164=TRUE,"Kõigi või enamiku (≥90%) kaitseväärtuste seisund on paranenud või on jäänud samaks.",IF(Hindamistabel!J165=TRUE,"Üle poolte (50-90%) kaitseväärtuste seisund on paranenud või jäänud samaks.",IF(Hindamistabel!J166=TRUE,"Vähem kui poolte (&lt;50%) kaitseväärtuste seisund on paranenud või jäänud samaks",IF(Hindamistabel!J167=TRUE,"Ühegi kaitseväärtuse seisund ei ole stabiilne või paranenud ",IF(Hindamistabel!J168=TRUE,"Pole asjakohane (elupaigad ei ole kaitse-eesmärgiks) ","")))))</f>
        <v>Üle poolte (50-90%) kaitseväärtuste seisund on paranenud või jäänud samaks.</v>
      </c>
      <c r="F45" s="160" t="str">
        <f>_xlfn.TEXTJOIN("; ",TRUE,_xlfn.UNIQUE(Hindamistabel!K164:K168))</f>
        <v>RT, EELIS</v>
      </c>
      <c r="G45" s="161" t="str">
        <f>_xlfn.TEXTJOIN("; ",TRUE,Hindamistabel!L164:L168)</f>
        <v>KKK ei erista kaitseala ja hoiuala ning info on esitatud loodusala kohta, mis ei võimalda kaitseala elupaikade seisundi muutust täpsemalt hinnata; arvestades, et pool pärandkooslustest on hoolduses, siis on vähemalt pindalaliselt poolte koosluste seisund paranenud või jäänud vähemalt samaks</v>
      </c>
    </row>
    <row r="46" spans="1:7" ht="78.75" x14ac:dyDescent="0.4">
      <c r="A46" s="158" t="s">
        <v>335</v>
      </c>
      <c r="B46" s="159" t="s">
        <v>273</v>
      </c>
      <c r="C46" s="159" t="s">
        <v>317</v>
      </c>
      <c r="D46" s="171" t="s">
        <v>435</v>
      </c>
      <c r="E46" s="164" t="str">
        <f>IF(Hindamistabel!J169&lt;&gt;"",Hindamistabel!J169,"")</f>
        <v/>
      </c>
      <c r="F46" s="160" t="str">
        <f>IF(Hindamistabel!K169&lt;&gt;"",Hindamistabel!K169,"")</f>
        <v/>
      </c>
      <c r="G46" s="161" t="str">
        <f>IF(Hindamistabel!L169&lt;&gt;"",Hindamistabel!L169,"")</f>
        <v/>
      </c>
    </row>
    <row r="47" spans="1:7" ht="128.25" x14ac:dyDescent="0.4">
      <c r="A47" s="158" t="s">
        <v>337</v>
      </c>
      <c r="B47" s="159" t="s">
        <v>273</v>
      </c>
      <c r="C47" s="159" t="s">
        <v>317</v>
      </c>
      <c r="D47" s="171" t="s">
        <v>436</v>
      </c>
      <c r="E47" s="164" t="str">
        <f>IF(Hindamistabel!J170&lt;&gt;"",Hindamistabel!J170,"")</f>
        <v>puiskarjamaad</v>
      </c>
      <c r="F47" s="160" t="str">
        <f>IF(Hindamistabel!K170&lt;&gt;"",Hindamistabel!K170,"")</f>
        <v>EELIS</v>
      </c>
      <c r="G47" s="161" t="str">
        <f>IF(Hindamistabel!L170&lt;&gt;"",Hindamistabel!L170,"")</f>
        <v>KKK järgi oli elupaigatüübi esinduslikkus A, kuid hilisemate inventuurida järgi C (2025. a Kasti lahe loodusala niiduelupaigatüüpide inventuur ei ole veel EELIS-es)</v>
      </c>
    </row>
    <row r="48" spans="1:7" ht="174" customHeight="1" x14ac:dyDescent="0.4">
      <c r="A48" s="158" t="s">
        <v>340</v>
      </c>
      <c r="B48" s="159" t="s">
        <v>273</v>
      </c>
      <c r="C48" s="159" t="s">
        <v>317</v>
      </c>
      <c r="D48" s="171" t="s">
        <v>437</v>
      </c>
      <c r="E48" s="164" t="str">
        <f>IF(Hindamistabel!J171&lt;&gt;"",Hindamistabel!J171,"")</f>
        <v>poollooduslikest kooslustest vaid pool on hoolduses</v>
      </c>
      <c r="F48" s="160" t="str">
        <f>IF(Hindamistabel!K171&lt;&gt;"",Hindamistabel!K171,"")</f>
        <v>EELIS</v>
      </c>
      <c r="G48" s="161" t="str">
        <f>IF(Hindamistabel!L171&lt;&gt;"",Hindamistabel!L171,"")</f>
        <v>pärandniidud tuleba taastada ja hooldusse võtta</v>
      </c>
    </row>
    <row r="49" spans="1:7" ht="77.25" x14ac:dyDescent="0.4">
      <c r="A49" s="158">
        <v>16</v>
      </c>
      <c r="B49" s="159" t="s">
        <v>273</v>
      </c>
      <c r="C49" s="159" t="s">
        <v>317</v>
      </c>
      <c r="D49" s="171" t="s">
        <v>343</v>
      </c>
      <c r="E49" s="160" t="str">
        <f>IF(Hindamistabel!J172=TRUE,"Ökosüsteemi teenuste pakkumine on hea või paranenud",IF(Hindamistabel!J173=TRUE,"Ökosüsteemi teenuste pakkumine on oluliste muutusteta",IF(Hindamistabel!J174=TRUE,"Ökosüsteemi teenuste pakkumine on halb või halvenenud",IF(Hindamistabel!J175=TRUE,"Andmed puuduvad/ei oska vastata",""))))</f>
        <v>Ökosüsteemi teenuste pakkumine on oluliste muutusteta</v>
      </c>
      <c r="F49" s="160" t="str">
        <f>_xlfn.TEXTJOIN("; ",TRUE,_xlfn.UNIQUE(Hindamistabel!K172:K175))</f>
        <v>ELME</v>
      </c>
      <c r="G49" s="161" t="str">
        <f>_xlfn.TEXTJOIN("; ",TRUE,Hindamistabel!L172:L175)</f>
        <v>keskmine (6,66 palli 10-palli skaalal; hinnang on antud 40,97% põhjal kaitsealast)</v>
      </c>
    </row>
    <row r="50" spans="1:7" ht="77.25" x14ac:dyDescent="0.4">
      <c r="A50" s="158">
        <v>17</v>
      </c>
      <c r="B50" s="159" t="s">
        <v>273</v>
      </c>
      <c r="C50" s="159" t="s">
        <v>317</v>
      </c>
      <c r="D50" s="171" t="s">
        <v>348</v>
      </c>
      <c r="E50" s="160" t="str">
        <f>IF(Hindamistabel!J176=TRUE,"Ökoloogiline sidusus on hea või paranenud",IF(Hindamistabel!J177=TRUE,"Ökoloogiline sidusus on stabiilne",IF(Hindamistabel!J178=TRUE,"Ökoloogiline sidusus on halb või vähenenud/halvenenud",IF(Hindamistabel!J179=TRUE,"Andmed puuduvad/ei oska vastata",""))))</f>
        <v>Ökoloogiline sidusus on stabiilne</v>
      </c>
      <c r="F50" s="160" t="str">
        <f>_xlfn.TEXTJOIN("; ",TRUE,_xlfn.UNIQUE(Hindamistabel!K176:K179))</f>
        <v>ELME</v>
      </c>
      <c r="G50" s="161" t="str">
        <f>_xlfn.TEXTJOIN("; ",TRUE,Hindamistabel!L176:L179)</f>
        <v>keskmine (65,76 palli 100-palli skaalal; hinnang on antud 39,79% põhjal kaitsealast)</v>
      </c>
    </row>
    <row r="51" spans="1:7" ht="52.5" x14ac:dyDescent="0.4">
      <c r="A51" s="158" t="s">
        <v>351</v>
      </c>
      <c r="B51" s="159" t="s">
        <v>273</v>
      </c>
      <c r="C51" s="159" t="s">
        <v>317</v>
      </c>
      <c r="D51" s="171" t="s">
        <v>352</v>
      </c>
      <c r="E51" s="160" t="str">
        <f>IF(Hindamistabel!J180=TRUE,"Usaldusväärne ülevaade kaitsekorra toimivusest/rikkumistest puudub ",IF(Hindamistabel!J181=TRUE,"Jah, on tuvastatud kaitsekorra rikkumisi ",IF(Hindamistabel!J182=TRUE,"Puuduvad teadaolevad rikkumised ","")))</f>
        <v xml:space="preserve">Puuduvad teadaolevad rikkumised </v>
      </c>
      <c r="F51" s="160" t="str">
        <f>_xlfn.TEXTJOIN("; ",TRUE,_xlfn.UNIQUE(Hindamistabel!K180:K182))</f>
        <v>OKAS, MaRu</v>
      </c>
      <c r="G51" s="161" t="str">
        <f>_xlfn.TEXTJOIN("; ",TRUE,Hindamistabel!L180:L182)</f>
        <v>järelevalve käigus rikkumisi ei ole tuvastatud; ortofotol märke ebaseaduslikust tegevusest silma ei torka</v>
      </c>
    </row>
    <row r="52" spans="1:7" ht="78.75" x14ac:dyDescent="0.4">
      <c r="A52" s="158" t="s">
        <v>358</v>
      </c>
      <c r="B52" s="159" t="s">
        <v>273</v>
      </c>
      <c r="C52" s="159" t="s">
        <v>317</v>
      </c>
      <c r="D52" s="171" t="s">
        <v>359</v>
      </c>
      <c r="E52" s="160" t="str">
        <f>IF(Hindamistabel!J183=TRUE,"Ei oska vastata",IF(Hindamistabel!J184=TRUE,"Jah, rikkumistel on võimalik (oluline) mõju kaitseväärtustele",IF(Hindamistabel!J185=TRUE,"Ei, rikkumistel ja/või selle tagajärgedel ei ole teadaolevaid (olulisi) mõjusid kaitseväärtustele","")))</f>
        <v/>
      </c>
      <c r="F52" s="160" t="str">
        <f>_xlfn.TEXTJOIN("; ",TRUE,_xlfn.UNIQUE(Hindamistabel!K183:K185))</f>
        <v/>
      </c>
      <c r="G52" s="161" t="str">
        <f>_xlfn.TEXTJOIN("; ",TRUE,Hindamistabel!L183:L185)</f>
        <v/>
      </c>
    </row>
    <row r="53" spans="1:7" ht="105" x14ac:dyDescent="0.4">
      <c r="A53" s="158" t="s">
        <v>363</v>
      </c>
      <c r="B53" s="159" t="s">
        <v>273</v>
      </c>
      <c r="C53" s="159" t="s">
        <v>317</v>
      </c>
      <c r="D53" s="171" t="s">
        <v>364</v>
      </c>
      <c r="E53" s="160" t="str">
        <f>IF(Hindamistabel!J186=TRUE,"Jah ",IF(Hindamistabel!J187=TRUE,"Ei, kuid kaitsekorra muutmine on juba töös",IF(Hindamistabel!J188=TRUE,"Ei, kaitsekorra muutmine on kavas/tööplaanis ette nähtud, kuid sellega pole veel alustatud",IF(Hindamistabel!J189=TRUE,"Ei",IF(Hindamistabel!J190=TRUE,"Ei oska vastata","")))))</f>
        <v>Ei</v>
      </c>
      <c r="F53" s="160" t="str">
        <f>_xlfn.TEXTJOIN("; ",TRUE,_xlfn.UNIQUE(Hindamistabel!K186:K190))</f>
        <v>eksperdiarvamus</v>
      </c>
      <c r="G53" s="161" t="str">
        <f>_xlfn.TEXTJOIN("; ",TRUE,Hindamistabel!L186:L190)</f>
        <v>piiranguvööndi kaitsekord on pärandniitude kaitsmiseks küll piisav, kuid otstarbekam on Kasti lahe linnu- ja loodusala kaitsta ühe siseriikliku kaitstava alana; (Kasti lahe HA ja Sutu lahe HA vaheline piir vajab ülevaatamist ja parandamist); (hindaja arvamus)</v>
      </c>
    </row>
    <row r="54" spans="1:7" ht="78.75" x14ac:dyDescent="0.4">
      <c r="A54" s="158" t="s">
        <v>366</v>
      </c>
      <c r="B54" s="159" t="s">
        <v>273</v>
      </c>
      <c r="C54" s="159" t="s">
        <v>317</v>
      </c>
      <c r="D54" s="172" t="s">
        <v>438</v>
      </c>
      <c r="E54" s="160" t="str">
        <f>IF(Hindamistabel!J191&lt;&gt;"",Hindamistabel!J191,"")</f>
        <v>Kasti lahe linnu- ja loodusala kaitsta ühe siseriikliku kaitstava alana, nagu ka KKK ette näeb</v>
      </c>
      <c r="F54" s="160" t="str">
        <f>IF(Hindamistabel!K191&lt;&gt;"",Hindamistabel!K191,"")</f>
        <v>KKK, eksperdiarvamus</v>
      </c>
      <c r="G54" s="161" t="str">
        <f>IF(Hindamistabel!L191&lt;&gt;"",Hindamistabel!L191,"")</f>
        <v>(hindaja arvamus)</v>
      </c>
    </row>
    <row r="55" spans="1:7" ht="78.75" x14ac:dyDescent="0.4">
      <c r="A55" s="158" t="s">
        <v>369</v>
      </c>
      <c r="B55" s="159" t="s">
        <v>273</v>
      </c>
      <c r="C55" s="159" t="s">
        <v>317</v>
      </c>
      <c r="D55" s="172" t="s">
        <v>367</v>
      </c>
      <c r="E55" s="164" t="str">
        <f>IF(Hindamistabel!J192=TRUE,"Jah ",IF(Hindamistabel!J193=TRUE,"Ei, kuid kaitse-eeskirja/määruse muutmine on juba töös",IF(Hindamistabel!J194=TRUE,"Ei, kaitse-eesmärkide muutmine on kavas/tööplaanis ette nähtud, kuid sellega pole veel alustatud",IF(Hindamistabel!J195=TRUE,"Ei",IF(Hindamistabel!J196=TRUE,"Ei oska vastata","")))))</f>
        <v>Ei</v>
      </c>
      <c r="F55" s="160" t="str">
        <f>_xlfn.TEXTJOIN("; ",TRUE,_xlfn.UNIQUE(Hindamistabel!K192:K196))</f>
        <v>RT, EELIS, KIRKE</v>
      </c>
      <c r="G55" s="161" t="str">
        <f>_xlfn.TEXTJOIN("; ",TRUE,Hindamistabel!L192:L196)</f>
        <v>kaitsealal on 3,2 ha kõrge esinduslikkusega (A) lamminiite (6450), mis ei ole kaitseväärtusena nimetatud ega ka nimetamisel (kaitse-eeskiri ei ole muutmisel ega täiendamisel); kaitseväärtuseks on liike, mille olemasolu kohta kaitsealal teave puudub või on teave vananenud</v>
      </c>
    </row>
    <row r="56" spans="1:7" ht="105" x14ac:dyDescent="0.4">
      <c r="A56" s="158" t="s">
        <v>404</v>
      </c>
      <c r="B56" s="159" t="s">
        <v>273</v>
      </c>
      <c r="C56" s="159" t="s">
        <v>317</v>
      </c>
      <c r="D56" s="171" t="s">
        <v>439</v>
      </c>
      <c r="E56" s="164" t="str">
        <f>IF(Hindamistabel!J197&lt;&gt;"",Hindamistabel!J197,"")</f>
        <v>kaitseväärtuste hulka lisada tüüp 6450; kaaluda tüüpide 1110 ja 1140 eemaldamist; kaaluda niidurüdi, vööt-põõsalinnu, viupardi, hallhane, randtiiru ja sõtka eemaldamist</v>
      </c>
      <c r="F56" s="160" t="str">
        <f>IF(Hindamistabel!K197&lt;&gt;"",Hindamistabel!K197,"")</f>
        <v>RT, EELIS</v>
      </c>
      <c r="G56" s="161" t="str">
        <f>IF(Hindamistabel!L197&lt;&gt;"",Hindamistabel!L197,"")</f>
        <v>ajakohane teave paljude kaitseväärtuseks olevate liikide kohta puudub</v>
      </c>
    </row>
    <row r="57" spans="1:7" ht="103.5" customHeight="1" x14ac:dyDescent="0.4">
      <c r="A57" s="165">
        <v>20</v>
      </c>
      <c r="B57" s="166" t="s">
        <v>55</v>
      </c>
      <c r="C57" s="166" t="s">
        <v>55</v>
      </c>
      <c r="D57" s="173" t="s">
        <v>371</v>
      </c>
      <c r="E57" s="168" t="str">
        <f>IF(Hindamistabel!J198&lt;&gt;"",Hindamistabel!J198,"")</f>
        <v>kaaluda uuesti Kasti MKA ja Kasti lahe HA liitmist; parandada ära piir Sutu lahe HA-ga</v>
      </c>
      <c r="F57" s="167" t="str">
        <f>IF(Hindamistabel!K198&lt;&gt;"",Hindamistabel!K198,"")</f>
        <v>EELIS, MaRu, eksperdiarvamus</v>
      </c>
      <c r="G57" s="169" t="str">
        <f>IF(Hindamistabel!L198&lt;&gt;"",Hindamistabel!L198,"")</f>
        <v>(hindaja arvamus)</v>
      </c>
    </row>
  </sheetData>
  <mergeCells count="1">
    <mergeCell ref="B1:C1"/>
  </mergeCells>
  <pageMargins left="0.7" right="0.7" top="0.75" bottom="0.75" header="0.3" footer="0.3"/>
  <pageSetup paperSize="9" orientation="portrait" r:id="rId1"/>
  <drawing r:id="rId2"/>
  <tableParts count="1">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 ma:contentTypeID="0x0101000178B9F79944FF42A8DF4D0F33D3F8E6" ma:contentTypeVersion="12" ma:contentTypeDescription="Loo uus dokument" ma:contentTypeScope="" ma:versionID="045797690a6ea4c29083d6560cd24a0e">
  <xsd:schema xmlns:xsd="http://www.w3.org/2001/XMLSchema" xmlns:xs="http://www.w3.org/2001/XMLSchema" xmlns:p="http://schemas.microsoft.com/office/2006/metadata/properties" xmlns:ns2="5a43134a-3882-4234-8664-add787c76c04" xmlns:ns3="7b649935-037c-4c14-a150-23430a541015" targetNamespace="http://schemas.microsoft.com/office/2006/metadata/properties" ma:root="true" ma:fieldsID="bac279f9acfbe4c0d0df554aa788dfa2" ns2:_="" ns3:_="">
    <xsd:import namespace="5a43134a-3882-4234-8664-add787c76c04"/>
    <xsd:import namespace="7b649935-037c-4c14-a150-23430a541015"/>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a43134a-3882-4234-8664-add787c76c0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Pildisildid" ma:readOnly="false" ma:fieldId="{5cf76f15-5ced-4ddc-b409-7134ff3c332f}" ma:taxonomyMulti="true" ma:sspId="cd040227-3b06-4173-ae46-9604ed6ae55c"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7b649935-037c-4c14-a150-23430a541015"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2f3830aa-90bc-4c3f-8be6-2328340bf938}" ma:internalName="TaxCatchAll" ma:showField="CatchAllData" ma:web="7b649935-037c-4c14-a150-23430a541015">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isutüüp"/>
        <xsd:element ref="dc:title" minOccurs="0" maxOccurs="1" ma:index="4" ma:displayName="Pealkiri"/>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7b649935-037c-4c14-a150-23430a541015" xsi:nil="true"/>
    <lcf76f155ced4ddcb4097134ff3c332f xmlns="5a43134a-3882-4234-8664-add787c76c04">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45A0313E-4DD9-452D-885F-71D61AC55C9C}"/>
</file>

<file path=customXml/itemProps2.xml><?xml version="1.0" encoding="utf-8"?>
<ds:datastoreItem xmlns:ds="http://schemas.openxmlformats.org/officeDocument/2006/customXml" ds:itemID="{E5452626-9D1D-4ABB-A9FC-A3AB3C223598}">
  <ds:schemaRefs>
    <ds:schemaRef ds:uri="http://schemas.microsoft.com/sharepoint/v3/contenttype/forms"/>
  </ds:schemaRefs>
</ds:datastoreItem>
</file>

<file path=customXml/itemProps3.xml><?xml version="1.0" encoding="utf-8"?>
<ds:datastoreItem xmlns:ds="http://schemas.openxmlformats.org/officeDocument/2006/customXml" ds:itemID="{D584A352-2614-4D84-84F2-489523D6EC42}">
  <ds:schemaRefs>
    <ds:schemaRef ds:uri="http://schemas.openxmlformats.org/package/2006/metadata/core-properties"/>
    <ds:schemaRef ds:uri="http://purl.org/dc/dcmitype/"/>
    <ds:schemaRef ds:uri="http://schemas.microsoft.com/office/2006/metadata/properties"/>
    <ds:schemaRef ds:uri="25b506d0-762b-47aa-adb6-8b80fc2be8cf"/>
    <ds:schemaRef ds:uri="http://www.w3.org/XML/1998/namespace"/>
    <ds:schemaRef ds:uri="14cfccfe-d05c-4ace-ac9c-889a36918eb7"/>
    <ds:schemaRef ds:uri="http://schemas.microsoft.com/office/2006/documentManagement/types"/>
    <ds:schemaRef ds:uri="http://schemas.microsoft.com/office/infopath/2007/PartnerControls"/>
    <ds:schemaRef ds:uri="http://purl.org/dc/terms/"/>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Töölehed</vt:lpstr>
      </vt:variant>
      <vt:variant>
        <vt:i4>6</vt:i4>
      </vt:variant>
    </vt:vector>
  </HeadingPairs>
  <TitlesOfParts>
    <vt:vector size="6" baseType="lpstr">
      <vt:lpstr>Cover page</vt:lpstr>
      <vt:lpstr>Mõisted</vt:lpstr>
      <vt:lpstr>Üldinfo</vt:lpstr>
      <vt:lpstr>Hindamistabel</vt:lpstr>
      <vt:lpstr>skoor</vt:lpstr>
      <vt:lpstr>Kokkuvõte</vt:lpstr>
    </vt:vector>
  </TitlesOfParts>
  <Manager/>
  <Company>Econcern NV</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Graeme Nicholls</dc:creator>
  <cp:keywords/>
  <dc:description/>
  <cp:lastModifiedBy>Andres Miller</cp:lastModifiedBy>
  <cp:revision/>
  <dcterms:created xsi:type="dcterms:W3CDTF">2011-01-19T10:59:21Z</dcterms:created>
  <dcterms:modified xsi:type="dcterms:W3CDTF">2026-06-27T09:53:37Z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0x0101000178B9F79944FF42A8DF4D0F33D3F8E6</vt:lpwstr>
  </property>
  <property fmtid="{D5CDD505-2E9C-101B-9397-08002B2CF9AE}" pid="3" name="MediaServiceImageTags">
    <vt:lpwstr/>
  </property>
</Properties>
</file>