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Tellise LKA\"/>
    </mc:Choice>
  </mc:AlternateContent>
  <xr:revisionPtr revIDLastSave="0" documentId="13_ncr:1_{093B586B-4A59-40C4-ACC4-34C0BFE6D1C4}" xr6:coauthVersionLast="47" xr6:coauthVersionMax="47" xr10:uidLastSave="{00000000-0000-0000-0000-000000000000}"/>
  <bookViews>
    <workbookView xWindow="-1490" yWindow="10390" windowWidth="19420" windowHeight="11500" tabRatio="652"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F50" i="35"/>
  <c r="E50" i="35" s="1"/>
  <c r="F48" i="35"/>
  <c r="E48" i="35" s="1"/>
  <c r="F47" i="35"/>
  <c r="E47" i="35" s="1"/>
  <c r="F24" i="35"/>
  <c r="E24" i="35" s="1"/>
  <c r="F21" i="35"/>
  <c r="E21" i="35" s="1"/>
  <c r="F20" i="35"/>
  <c r="E20" i="35" s="1"/>
  <c r="F18" i="35"/>
  <c r="E18" i="35" s="1"/>
  <c r="F14" i="35"/>
  <c r="E14" i="35" s="1"/>
  <c r="F13" i="35"/>
  <c r="E13" i="35" s="1"/>
  <c r="F12" i="35"/>
  <c r="E12" i="35" s="1"/>
  <c r="B71" i="35" s="1"/>
  <c r="F10" i="35"/>
  <c r="E10" i="35" s="1"/>
  <c r="F9" i="35"/>
  <c r="E9" i="35" s="1"/>
  <c r="F8" i="35"/>
  <c r="E8" i="35" s="1"/>
  <c r="F7" i="35"/>
  <c r="E7" i="35" s="1"/>
  <c r="C60" i="35" l="1"/>
  <c r="E2" i="35"/>
  <c r="B60" i="35" s="1"/>
  <c r="C71" i="35"/>
  <c r="D71" i="35" s="1"/>
  <c r="C72" i="35"/>
  <c r="C69" i="35"/>
  <c r="B74" i="35"/>
  <c r="C68" i="35"/>
  <c r="C74" i="35"/>
  <c r="B67" i="35"/>
  <c r="C67" i="35"/>
  <c r="D67" i="35" s="1"/>
  <c r="B66" i="35"/>
  <c r="B73" i="35"/>
  <c r="C73" i="35"/>
  <c r="C66" i="35"/>
  <c r="B65" i="35"/>
  <c r="C65" i="35"/>
  <c r="C64" i="35"/>
  <c r="B63" i="35"/>
  <c r="C63" i="35"/>
  <c r="B62" i="35"/>
  <c r="C62" i="35"/>
  <c r="B72" i="35"/>
  <c r="B68" i="35"/>
  <c r="B69" i="35"/>
  <c r="B64" i="35"/>
  <c r="C61" i="35"/>
  <c r="F56" i="35"/>
  <c r="D60" i="35" l="1"/>
  <c r="D63" i="35"/>
  <c r="D69" i="35"/>
  <c r="D74" i="35"/>
  <c r="D68" i="35"/>
  <c r="D66" i="35"/>
  <c r="D73" i="35"/>
  <c r="D65" i="35"/>
  <c r="D64" i="35"/>
  <c r="D62" i="35"/>
  <c r="D72" i="35"/>
  <c r="E56" i="35"/>
  <c r="B61" i="35"/>
  <c r="D61" i="3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<sst xmlns="http://schemas.openxmlformats.org/spreadsheetml/2006/main" count="1315" uniqueCount="544">
  <si>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</si>
  <si>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</si>
  <si>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</si>
  <si>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</si>
  <si>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</si>
  <si>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</si>
  <si>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</si>
  <si>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</si>
  <si>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</si>
  <si>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</si>
  <si>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</si>
  <si>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</si>
  <si>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</si>
  <si>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</si>
  <si>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</si>
  <si>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</si>
  <si>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</si>
  <si>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</si>
  <si>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</si>
  <si>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</si>
  <si>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</si>
  <si>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</si>
  <si>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</si>
  <si>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</si>
  <si>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</si>
  <si>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</si>
  <si>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</si>
  <si>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</si>
  <si>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</si>
  <si>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</si>
  <si>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</si>
  <si>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</si>
  <si>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</si>
  <si>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</si>
  <si>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</si>
  <si>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</si>
  <si>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</si>
  <si>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</si>
  <si>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</si>
  <si>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</si>
  <si>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</si>
  <si>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</si>
  <si>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</si>
  <si>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</si>
  <si>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</si>
  <si>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</si>
  <si>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</si>
  <si>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</si>
  <si>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</si>
  <si>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</si>
  <si>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</si>
  <si>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</si>
  <si>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</si>
  <si>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</si>
  <si>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</si>
  <si>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</si>
  <si>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</si>
  <si>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</si>
  <si>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</si>
  <si>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</si>
  <si>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</si>
  <si>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</si>
  <si>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</si>
  <si>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</si>
  <si>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</si>
  <si>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</si>
  <si>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</si>
  <si>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</si>
  <si>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</si>
  <si>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</si>
  <si>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</si>
  <si>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</si>
  <si>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</si>
  <si>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</si>
  <si>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</si>
  <si>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</si>
  <si>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</si>
  <si>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</si>
  <si>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</si>
  <si>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</si>
  <si>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</si>
  <si>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</si>
  <si>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</si>
  <si>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</si>
  <si>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</si>
  <si>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</si>
  <si>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</si>
  <si>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</si>
  <si>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</si>
  <si>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</si>
  <si>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</si>
  <si>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</si>
  <si>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</si>
  <si>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</si>
  <si>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</si>
  <si>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</si>
  <si>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</si>
  <si>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</si>
  <si>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</si>
  <si>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</si>
  <si>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</si>
  <si>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</si>
  <si>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</si>
  <si>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</si>
  <si>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</si>
  <si>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</si>
  <si>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</si>
  <si>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</si>
  <si>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</si>
  <si>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</si>
  <si>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</si>
  <si>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</si>
  <si>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</si>
  <si>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</si>
  <si>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</si>
  <si>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</si>
  <si>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</si>
  <si>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</si>
  <si>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</si>
  <si>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</si>
  <si>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</si>
  <si>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</si>
  <si>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</si>
  <si>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</si>
  <si>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</si>
  <si>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</si>
  <si>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</si>
  <si>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</si>
  <si>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</si>
  <si>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</si>
  <si>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</si>
  <si>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</si>
  <si>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</si>
  <si>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</si>
  <si>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</si>
  <si>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</si>
  <si>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</si>
  <si>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</si>
  <si>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</si>
  <si>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</si>
  <si>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</si>
  <si>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</si>
  <si>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</si>
  <si>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</si>
  <si>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</si>
  <si>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</si>
  <si>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</si>
  <si>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</si>
  <si>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</si>
  <si>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</si>
  <si>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</si>
  <si>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</si>
  <si>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</si>
  <si>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</si>
  <si>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</si>
  <si>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</si>
  <si>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</si>
  <si>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</si>
  <si>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</si>
  <si>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</si>
  <si>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</si>
  <si>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</si>
  <si>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</si>
  <si>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</si>
  <si>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</si>
  <si>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</si>
  <si>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</si>
  <si>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</si>
  <si>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</si>
  <si>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</si>
  <si>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</si>
  <si>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</si>
  <si>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</si>
  <si>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</si>
  <si>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</si>
  <si>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</si>
  <si>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</si>
  <si>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</si>
  <si>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</si>
  <si>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</si>
  <si>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</si>
  <si>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</si>
  <si>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</si>
  <si>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</si>
  <si>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</si>
  <si>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</si>
  <si>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</si>
  <si>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</si>
  <si>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</si>
  <si>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</si>
  <si>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</si>
  <si>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</si>
  <si>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</si>
  <si>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</si>
  <si>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</si>
  <si>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</si>
  <si>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</si>
  <si>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</si>
  <si>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</si>
  <si>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</si>
  <si>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</si>
  <si>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</si>
  <si>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</si>
  <si>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</si>
  <si>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</si>
  <si>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</si>
  <si>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</si>
  <si>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</si>
  <si>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</si>
  <si>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</si>
  <si>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</si>
  <si>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</si>
  <si>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</si>
  <si>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</si>
  <si>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</si>
  <si>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</si>
  <si>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</si>
  <si>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</si>
  <si>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</si>
  <si>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</si>
  <si>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</si>
  <si>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</si>
  <si>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</si>
  <si>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</si>
  <si>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</si>
  <si>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</si>
  <si>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</si>
  <si>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</si>
  <si>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</si>
  <si>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</si>
  <si>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</si>
  <si>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</si>
  <si>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</si>
  <si>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</si>
  <si>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</si>
  <si>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</si>
  <si>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</si>
  <si>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</si>
  <si>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</si>
  <si>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</si>
  <si>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</si>
  <si>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</si>
  <si>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</si>
  <si>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</si>
  <si>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</si>
  <si>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</si>
  <si>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</si>
  <si>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</si>
  <si>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</si>
  <si>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</si>
  <si>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</si>
  <si>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</si>
  <si>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</si>
  <si>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</si>
  <si>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</si>
  <si>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</si>
  <si>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</si>
  <si>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</si>
  <si>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</si>
  <si>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</si>
  <si>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</si>
  <si>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</si>
  <si>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</si>
  <si>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</si>
  <si>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</si>
  <si>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</si>
  <si>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</si>
  <si>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</si>
  <si>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</si>
  <si>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</si>
  <si>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</si>
  <si>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</si>
  <si>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</si>
  <si>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</si>
  <si>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</si>
  <si>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</si>
  <si>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</si>
  <si>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</si>
  <si>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</si>
  <si>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</si>
  <si>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</si>
  <si>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</si>
  <si>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</si>
  <si>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</si>
  <si>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</si>
  <si>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</si>
  <si>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</si>
  <si>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</si>
  <si>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</si>
  <si>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</si>
  <si>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</si>
  <si>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</si>
  <si>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</si>
  <si>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</si>
  <si>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</si>
  <si>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</si>
  <si>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</si>
  <si>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</si>
  <si>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</si>
  <si>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</si>
  <si>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</si>
  <si>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</si>
  <si>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</si>
  <si>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</si>
  <si>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</si>
  <si>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</si>
  <si>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</si>
  <si>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</si>
  <si>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</si>
  <si>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</si>
  <si>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</si>
  <si>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</si>
  <si>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</si>
  <si>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</si>
  <si>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</si>
  <si>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</si>
  <si>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</si>
  <si>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</si>
  <si>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</si>
  <si>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</si>
  <si>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</si>
  <si>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</si>
  <si>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</si>
  <si>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</si>
  <si>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</si>
  <si>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</si>
  <si>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</si>
  <si>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</si>
  <si>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</si>
  <si>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</si>
  <si>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</si>
  <si>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</si>
  <si>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</si>
  <si>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</si>
  <si>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</si>
  <si>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</si>
  <si>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</si>
  <si>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</si>
  <si>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</si>
  <si>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</si>
  <si>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</si>
  <si>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</si>
  <si>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</si>
  <si>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</si>
  <si>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</si>
  <si>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</si>
  <si>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</si>
  <si>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</si>
  <si>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</si>
  <si>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</si>
  <si>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</si>
  <si>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</si>
  <si>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</si>
  <si>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</si>
  <si>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</si>
  <si>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</si>
  <si>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</si>
  <si>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</si>
  <si>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</si>
  <si>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</si>
  <si>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</si>
  <si>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</si>
  <si>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</si>
  <si>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</si>
  <si>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</si>
  <si>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</si>
  <si>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</si>
  <si>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</si>
  <si>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</si>
  <si>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</si>
  <si>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</si>
  <si>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</si>
  <si>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</si>
  <si>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</si>
  <si>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</si>
  <si>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</si>
  <si>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</si>
  <si>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</si>
  <si>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</si>
  <si>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</si>
  <si>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</si>
  <si>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</si>
  <si>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</si>
  <si>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</si>
  <si>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</si>
  <si>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</si>
  <si>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</si>
  <si>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</si>
  <si>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</si>
  <si>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</si>
  <si>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</si>
  <si>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</si>
  <si>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</si>
  <si>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</si>
  <si>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</si>
  <si>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</si>
  <si>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</si>
  <si>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</si>
  <si>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</si>
  <si>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</si>
  <si>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</si>
  <si>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</si>
  <si>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</si>
  <si>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</si>
  <si>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</si>
  <si>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</si>
  <si>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</si>
  <si>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</si>
  <si>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</si>
  <si>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</si>
  <si>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</si>
  <si>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</si>
  <si>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</si>
  <si>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</si>
  <si>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</si>
  <si>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</si>
  <si>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</si>
  <si>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</si>
  <si>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</si>
  <si>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</si>
  <si>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</si>
  <si>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</si>
  <si>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</si>
  <si>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</si>
  <si>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</si>
  <si>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</si>
  <si>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Hindamistabel!J9=TRUE</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</si>
  <si>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</si>
  <si>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</si>
  <si>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</si>
  <si>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</si>
  <si>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</si>
  <si>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</si>
  <si>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</si>
  <si>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</si>
  <si>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</si>
  <si>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</si>
  <si>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</si>
  <si>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</si>
  <si>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</si>
  <si>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</si>
  <si>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</si>
  <si>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</si>
  <si>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</si>
  <si>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</si>
  <si>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</si>
  <si>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</si>
  <si>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</si>
  <si>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</si>
  <si>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</si>
  <si>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</si>
  <si>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</si>
  <si>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</si>
  <si>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</si>
  <si>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</si>
  <si>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</si>
  <si>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</si>
  <si>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</si>
  <si>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</si>
  <si>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</si>
  <si>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</si>
  <si>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</si>
  <si>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</si>
  <si>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</si>
  <si>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Tellise looduskaitseala</t>
  </si>
  <si>
    <t>KLO1000160</t>
  </si>
  <si>
    <t>Jõgeva maakond</t>
  </si>
  <si>
    <t>238,07 ha</t>
  </si>
  <si>
    <t>IV</t>
  </si>
  <si>
    <t>Tellise loodusala</t>
  </si>
  <si>
    <t>Keskkonnaamet</t>
  </si>
  <si>
    <t>Tellise looduskaitseala kaitsekorralduskava 2017-2026; Pärandniitude tegevuskava</t>
  </si>
  <si>
    <t>2017-2026; 2021-2027</t>
  </si>
  <si>
    <t>Andres Miller</t>
  </si>
  <si>
    <t>(praeguse KKK lisas 3 on kaitse tulemuslikkuse aruanne 2003-2015)</t>
  </si>
  <si>
    <t>Mustvee jõe luhad</t>
  </si>
  <si>
    <t>RT, KKK</t>
  </si>
  <si>
    <t>LKA kaitseväärtusena kaitse-eeskiri ühtegi liiki ei nimeta; loodusala kaitseväärtuseks on saarmas; KKK-s on põhjalikumalt käsitletud kahte liiki: saarmast ja paksu jõekarpi; kummagi liigi kohta täpsem info aga puudub</t>
  </si>
  <si>
    <t>2002. a kirjeldatud tüüpi 9020* pole hiljem tuvastatud, teised kaitseväärtuseks olevad tüübid (9050 ja 9080*) on kirjeldatud suuremas osas viimati 2012. a ning tüüp 6450 on tuvastatud valdavalt 1997.a, kuid tüübi kirjeldus on puudulik</t>
  </si>
  <si>
    <t>RT, KKK, EELIS</t>
  </si>
  <si>
    <t>EELIS, KKK</t>
  </si>
  <si>
    <t>vaid 2,1 ha (0,9% kaitseala ja 1,4% elupaigatüüpide pindalast) elupaigatüüpide kohta on EELIS-es inventuuri kuupäev (valdavalt 30.07.2021) olemas; esinduslikkus on määratud 113,3 ha (47,6% kaitsealast ja 76,1% elupaigatüüpidest)</t>
  </si>
  <si>
    <t>uuringute vajadusena on nimetatud vaid erinevate liikide uuringuid, mitte elupaigatüüpide uuringuid; tegevusena on ette nähtud ka elupaigatüüpide kordusinventuurid</t>
  </si>
  <si>
    <t>EELIS, KKK,MaRu</t>
  </si>
  <si>
    <t xml:space="preserve">paksu jõekarbi inventuur oli kavandatud aastaks 2018 ning elupaigatüüpide inventuurid aastateks 2025 ja 2026; paksu jõekarbi leiukohta on viimati vaadeldud 2023. a (enne seda 2014. a); niiduelupaiku on osaliselt (2,1 ha ulatuses, mis on 7,3% kavandatust) inventeeritud 2021. a; KKK-s kavandatud inventuurid ei kajastu (13.11.2025) inventuuride virtuaalkontoris </t>
  </si>
  <si>
    <t>kõigi survetegurite leevendamiseks ei ole meetmeid määratud, ka siis, kui see oleks asjakohane (nt saarma ja tüübi 9010* puhul)</t>
  </si>
  <si>
    <t>kehtib praeguste kaitseväärtuste, mitte uute kohta</t>
  </si>
  <si>
    <t>lamminiidud (6450)</t>
  </si>
  <si>
    <t xml:space="preserve">Loodusdirektiivi metsaelupaikade inventeerimise juhend </t>
  </si>
  <si>
    <t>soostuvad ja soo-lehtmetsad (9080*)</t>
  </si>
  <si>
    <t>koprajahil kasutatavad Coniber-tüüpi rauad ohustavad ka saarmast</t>
  </si>
  <si>
    <t>prügistamine (selle vähendamiseks näeb KKK ette teetõkke hooldamise)</t>
  </si>
  <si>
    <t>kopratammid võivad ohustada Mustvee jõe saarmast ja paksu jõekarpi</t>
  </si>
  <si>
    <t>kaitseala läbib Mustvee jõgi, mis on koduks saarmale ja paksule jõekarbile; jõe kaldal toimuv jaht (nii kaitsealal kui ka) väljaspool kaitseala või kopratammid võivad ohustada ka neid kaitsealuseid liike</t>
  </si>
  <si>
    <t>kaitse-eeskirja järgi on kaitseala kaitseväärtuseks vaid lamminiidud (6450), rohunditerikkad kuusikud (9050), vanad laialehised salumetsad (9020*) ning soostuvad ja soo-lehtmetsad (9080*); kaitse-eesmärgid on seatud ka muudele elurikkusega seotud loodusväärtustele (mis veel ei ole kaitseväärtusteks nimetatud)</t>
  </si>
  <si>
    <t>sh ka kaitseväärtuseks mitteolevatele loodusväärtustele on soovitud seisund määratletud</t>
  </si>
  <si>
    <t>selliseid kaitseväärtusi pole</t>
  </si>
  <si>
    <t>saarmas, paks jõekarp, vanad loodusmetsad (9010*)</t>
  </si>
  <si>
    <t>luhtade hooldamine (27,5 ha + 1,4 ha) ja taastamine (1,4 ha), teetõkke hooldamine (prügistamise vähendamiseks), juurdepääsutee hooldamine (luhtadele pääsemiseks)</t>
  </si>
  <si>
    <t>KKK-s on mainitud, et eelmisel kaitsekorraldusperioodil rajati kuivenduskraavidele voolutakistusi ja et praeguseks ei ole need tõkked enam märgatavad, kuid pole öeldud, kas looduslikuma veerežiimi taastamine on vajalik või mitte, kuigi K-E § 6 lg 2 nimetab vajaliku tegevusena loodusliku veerežiimi taastamist</t>
  </si>
  <si>
    <t>tehakse ettepanek kaaluda kaitseala laiendamist u 20 ha luhtade võrra</t>
  </si>
  <si>
    <t>kuivendamist pole tüübi 9080* puhul survetegurina mainitudki; saarmast ohustavat raudade kasutamist on mainitud, kuid meedet ei ole (saarmas on LoA kaitseväärtuseks, kaitseala kaitseväärtuseks ei ole), kopratammid ohustavad nii saarmast kui ka paksu jõekarpi (LoD II lisa ja II kat. kaitsealune liik, kuid pole LoA ega kaitseala kaitseväärtuseks), kuid meedet ei ole; meetmed on luha lagedana hoidmiseks ning metsa prügistamise vähendamiseks</t>
  </si>
  <si>
    <t>EELIS, MaRu, KKK</t>
  </si>
  <si>
    <t>luha taastamisi kokku 1,4 ha ei ole tehtud; luhta on hooldatud 2017. a 0 ha; 2018.-2020. a 24,45 ha; 2021.-2024. a 20,25 ha (eesmärk on 28,9 ha); ortofotol ei nähtu raieid metsas (SKV ja riigimaa); elupaikade inventuurid on kavandatud aastatesse 2025 ja 2026</t>
  </si>
  <si>
    <t>teha ära KKK-s ettenähtud inventuurid</t>
  </si>
  <si>
    <t>RT, EELIS, KKK</t>
  </si>
  <si>
    <t>K-E näeb vajaliku tegevusena ette loodusliku veerežiimi taastamise, kuid KKK-s jääb selgusetuks, kas see on vajalik või mitte; KKK ei tee ettepanekut isegi mitte kaaluda saarma, kes on LoA kaitseväärtuseks, kaitseala kaitseväärtuseks nimetamiseks (1 paar saarmaid tuvastati kaitsealal 2025. a)</t>
  </si>
  <si>
    <t>varasemaid andmeid on kasutatud KKK-de (kinnitatud 2005. ja 2016. a) ning kaitse-eeskirja (kinnitatud 2005. a) koostamisteks, kuid need pole enam päris ajakohased (nt lendorava leid 2019. a, hilisematel aastatel on pesitsusterritoorium kahjuks asustamata olnud)</t>
  </si>
  <si>
    <t>kaasati maa haldaja RMK, Eesti Maaülikool ja kohalik omavalitsus Torma vald; KKK eelnõu avalikustati valla kodulehel</t>
  </si>
  <si>
    <t>luhad on valdavalt hoolduses; külastustaristu vituaalkontori järgi oli 2023. a kaitseala välispiir tähistatud 4 tähisega</t>
  </si>
  <si>
    <t>avalikkuse huvi KKK vastu puudus; kaitseala on riigimaal, selle külastatavus on väike</t>
  </si>
  <si>
    <t>luha taastamisi (plaanitult kokku 1,4 ha) ei ole tehtud</t>
  </si>
  <si>
    <t>märgalade ja veekogudega seotud taastamistöid pole ette nähtud</t>
  </si>
  <si>
    <t>luhta on hooldatud 2017. a 0 ha; 2018.-2020. a 24,45 ha; 2021.-2024. a 20,25 ha (70%; eesmärk on 28,9 ha)</t>
  </si>
  <si>
    <t>liigikaitsetöid KKK ette ei näe</t>
  </si>
  <si>
    <t>ainus KKK-s ettenähtud selline tegevus on luhtadele jurdepääsutee (1,4 km) hooldamine vastavalt vajadusele; kuna enamus luhtadest on hoolduses, siis ilmselt on teed vastavalt vajadusele ka hooldatud või puudub selleks vajadus</t>
  </si>
  <si>
    <t>pärandkoosluste taastamistööd</t>
  </si>
  <si>
    <t>ilmselt puudub hooldamise huvi kolme väikese luhaniidu (kokku 1,4 ha) vastu</t>
  </si>
  <si>
    <t>elupaikade inventuurid on kavandatud aastatesse 2025 ja 2026, inventuuride virtuaalkontoris need praegu (13.11.2025) ei kajastu</t>
  </si>
  <si>
    <t>paksu jõekarbi inventuur oli kavandatud aastaks 2018, kuid see on seni tegemata (2023. a pärineb üks juhuvaatlus, mis kinnatab paksu jõekarbi olemasolu); ohustatud taimekoosluste riiklik seire pidi KKK järgi toimuma 2019. ja 2025. a, kuid toimus (Tableau järgi) 2022. a; sellel riiklikul seirel puudub praegu otsene seos kaitseala kaitse korraldamisega (seiratavad liigid ei ole kaitseala kaitseväärtusteks)</t>
  </si>
  <si>
    <t>KKK, eksperditeadmine</t>
  </si>
  <si>
    <t>kaitsekorra uuendamine (2020.-2021. a) on seni tegemata, kuid alustatud on üleriigilise kaitstavate alade kaitseväärtuste (kaitse-eesmärkide) ajakohastamisega ja selle raames saarma lisamisega Tellise LKA kaitseväärtuste hulka; KKK vahehindamine (2022. a) on tegemata; KKK uuendamine on KKK järgi ette nähtud 2026. a</t>
  </si>
  <si>
    <t>MaRu, KKK</t>
  </si>
  <si>
    <t>külastustaristu virtuaalkontori järgi on ettenähtud 9 tähisest paigaldatud 4 tähist ja teetõkkest on ilmselt loobutud (see ei kajastu kaardirakendusel)</t>
  </si>
  <si>
    <t>viited sellistele tegevustele puuduvad</t>
  </si>
  <si>
    <t>KeA, RMK</t>
  </si>
  <si>
    <t>ükski liik ei ole kaitseala kaitseväärtuseks, kuid saarmas on loodusala kaitseväärtus ja 2025. a leiti kaitsealal elamas 1 paar saarmaid (Mustvee jõgi on nende sigimispaigaks)</t>
  </si>
  <si>
    <t>EELIS, eksperdihinnang, KKK</t>
  </si>
  <si>
    <t>kogu kaitseala on sihtkaitsevöönd ja valdavalt (85,5%) mets, mille seisund loodusliku arengu tulemusena on eeldatavasti paranenud; luhtadest (12,4% kaitsealast) on 70,1% hoolduses</t>
  </si>
  <si>
    <t>sihtkaitsevööndi kaitserežiim; pärandniitudel on üka maaomanik (riik); väike külastussurve</t>
  </si>
  <si>
    <t>eksperdiarvamus</t>
  </si>
  <si>
    <t>(hindaja arvamus)</t>
  </si>
  <si>
    <t>30% luhtadest, mis pole hoolduses, seisund on ilmselt halvenenud</t>
  </si>
  <si>
    <t>poolloodusliku koosluse seisund hoolduse lakkamisel algul halveneb, kuid ajapikku hakkab koosluse looduslikkus suurenema ja kosluse seisund nüüd juba looduslikuna paranema; (hindaja arvamus)</t>
  </si>
  <si>
    <t>hea (7,63 palli 10-palli skaalal)</t>
  </si>
  <si>
    <t>hea (78,96 palli 100-palli skaalal)</t>
  </si>
  <si>
    <t>OKAS</t>
  </si>
  <si>
    <t>RT, OKAS, eksperdiarvamus</t>
  </si>
  <si>
    <t>kalapüügirikkumised (alamõõdulise kala püüdmine); jäätmetealased rikkumised (suurema hulga kalajäänuste koondatult loodusesse jätmine); tõkkepuu lõhkumine kaitseala südamesse ja jõeäärde sõitmiseks</t>
  </si>
  <si>
    <t>jõe elupaigatüüp ega jõega seotud elustik (saarmas, paks jõekarp) ei ole seni kaitseala kaitseväärtuseks (saarmas on loodusala kaitseväärtuseks); (hindaja arvamus)</t>
  </si>
  <si>
    <t>alustatud on saarma lisamisega kaitseala kaitseväärtuste hulka (saarmas on juba varasemast loodusala kaitseväärtus), kuid muud puudused kaitse-eeskirjas jäävad praegu ilmselt ära parandamata; (hindaja arvamus)</t>
  </si>
  <si>
    <t>alustatud on saarma lisamisega kaitseala kaitseväärtuste hulka (saarmas on juba varasemast loodusala kaitseväärtus), kuid muud loodusväärtused (nt lendorav, paks jõekarp, võimalik elupaigatüüp jõed ja ojad (3260) jäävad praegu ilmselt lisamata; (hindaja arvamus)</t>
  </si>
  <si>
    <t>K-E näeb vajaliku tegevusena ette (§ 6 lg 2) metsakoosluste kujundamise vastavalt kaitse-eesmärgile ja loodusliku veerežiimi taastamise, kuid praeguse sõnastuse järgi ei vaja need tegevused kaitseala valitseja kooskõlastust</t>
  </si>
  <si>
    <t>metsakoosluse kujundamise ja loodusliku veerežiimi taastamise sildi all võib tahtmatult või tahtlikult kaitseala seisundit oluliselt kahjustada; (hindaja arvamus)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</si>
</sst>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Verdana"/>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3">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0" fillId="0" borderId="0" xfId="0" applyFont="1" applyAlignment="1">
      <alignment horizontal="center" vertical="center" wrapText="1"/>
    </xf>
    <xf numFmtId="0" fontId="58" fillId="0" borderId="0" xfId="0" applyFont="1"/>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Tellise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Y54" sqref="Y54"/>
    </sheetView>
  </sheetViews>
  <sheetFormatPr defaultColWidth="8.7109375" defaultRowHeight="12.75" x14ac:dyDescent="0.25"/>
  <cols>
    <col min="1" max="16384" width="8.7109375" style="70"/>
  </cols>
  <sheetData>
    <row r="3" s="70" customFormat="1" x14ac:dyDescent="0.25"/>
    <row r="4" s="70" customFormat="1" x14ac:dyDescent="0.25"/>
    <row r="5" s="70" customFormat="1" x14ac:dyDescent="0.25"/>
    <row r="6" s="70" customFormat="1" x14ac:dyDescent="0.25"/>
    <row r="7" s="70" customFormat="1" x14ac:dyDescent="0.25"/>
    <row r="8" s="70" customFormat="1" x14ac:dyDescent="0.25"/>
    <row r="9" s="70" customFormat="1" x14ac:dyDescent="0.25"/>
    <row r="10" s="70" customFormat="1" x14ac:dyDescent="0.25"/>
    <row r="11" s="70" customFormat="1" x14ac:dyDescent="0.25"/>
    <row r="12" s="70" customFormat="1" x14ac:dyDescent="0.25"/>
    <row r="13" s="70" customFormat="1" x14ac:dyDescent="0.25"/>
    <row r="14" s="70" customFormat="1" x14ac:dyDescent="0.25"/>
    <row r="15" s="70" customFormat="1" x14ac:dyDescent="0.25"/>
    <row r="16" s="70" customFormat="1" x14ac:dyDescent="0.25"/>
    <row r="17" s="70" customFormat="1" x14ac:dyDescent="0.25"/>
    <row r="18" s="70" customFormat="1" x14ac:dyDescent="0.25"/>
    <row r="19" s="70" customFormat="1" x14ac:dyDescent="0.25"/>
    <row r="20" s="70" customFormat="1" x14ac:dyDescent="0.25"/>
    <row r="21" s="70" customFormat="1" x14ac:dyDescent="0.25"/>
    <row r="22" s="70" customFormat="1" x14ac:dyDescent="0.25"/>
    <row r="23" s="70" customFormat="1" x14ac:dyDescent="0.25"/>
    <row r="24" s="70" customFormat="1" x14ac:dyDescent="0.25"/>
    <row r="25" s="70" customFormat="1" x14ac:dyDescent="0.25"/>
    <row r="26" s="70" customFormat="1" x14ac:dyDescent="0.25"/>
    <row r="27" s="70" customFormat="1" x14ac:dyDescent="0.25"/>
    <row r="28" s="70" customFormat="1" x14ac:dyDescent="0.25"/>
    <row r="30" s="70" customFormat="1" x14ac:dyDescent="0.25"/>
    <row r="31" s="70" customFormat="1" x14ac:dyDescent="0.25"/>
    <row r="32" s="70" customFormat="1" x14ac:dyDescent="0.25"/>
    <row r="37" spans="19:19" x14ac:dyDescent="0.25">
      <c r="S37"/>
    </row>
    <row r="62" spans="17:17" x14ac:dyDescent="0.25">
      <c r="Q62"/>
    </row>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zoomScaleNormal="100" workbookViewId="0">
      <selection activeCell="C6" sqref="C6"/>
    </sheetView>
  </sheetViews>
  <sheetFormatPr defaultRowHeight="12.75" x14ac:dyDescent="0.25"/>
  <cols>
    <col min="2" max="2" width="37.28515625" bestFit="1" customWidth="1"/>
    <col min="3" max="3" width="118.42578125" customWidth="1"/>
  </cols>
  <sheetData>
    <row r="3" spans="2:3" ht="28.5" thickBot="1" x14ac:dyDescent="0.55000000000000004">
      <c r="B3" s="174" t="s">
        <v>0</v>
      </c>
      <c r="C3" s="174"/>
    </row>
    <row r="4" spans="2:3" ht="13.5" thickTop="1" x14ac:dyDescent="0.25"/>
    <row r="6" spans="2:3" ht="15.75" customHeight="1" x14ac:dyDescent="0.25">
      <c r="B6" s="123" t="s">
        <v>1</v>
      </c>
      <c r="C6" s="123" t="s">
        <v>2</v>
      </c>
    </row>
    <row r="7" spans="2:3" ht="16.5" x14ac:dyDescent="0.25">
      <c r="B7" s="124" t="s">
        <v>3</v>
      </c>
      <c r="C7" s="125" t="s">
        <v>4</v>
      </c>
    </row>
    <row r="8" spans="2:3" ht="16.5" x14ac:dyDescent="0.25">
      <c r="B8" s="124" t="s">
        <v>5</v>
      </c>
      <c r="C8" s="125" t="s">
        <v>6</v>
      </c>
    </row>
    <row r="9" spans="2:3" ht="33" x14ac:dyDescent="0.25">
      <c r="B9" s="124" t="s">
        <v>7</v>
      </c>
      <c r="C9" s="125" t="s">
        <v>8</v>
      </c>
    </row>
    <row r="10" spans="2:3" ht="16.5" x14ac:dyDescent="0.25">
      <c r="B10" s="124" t="s">
        <v>9</v>
      </c>
      <c r="C10" s="126" t="s">
        <v>10</v>
      </c>
    </row>
    <row r="11" spans="2:3" ht="66" x14ac:dyDescent="0.25">
      <c r="B11" s="124" t="s">
        <v>11</v>
      </c>
      <c r="C11" s="125" t="s">
        <v>12</v>
      </c>
    </row>
    <row r="12" spans="2:3" ht="33" x14ac:dyDescent="0.25">
      <c r="B12" s="124" t="s">
        <v>13</v>
      </c>
      <c r="C12" s="125" t="s">
        <v>14</v>
      </c>
    </row>
    <row r="13" spans="2:3" ht="231" x14ac:dyDescent="0.25">
      <c r="B13" s="127" t="s">
        <v>15</v>
      </c>
      <c r="C13" s="125" t="s">
        <v>444</v>
      </c>
    </row>
    <row r="14" spans="2:3" ht="49.5" x14ac:dyDescent="0.25">
      <c r="B14" s="124" t="s">
        <v>16</v>
      </c>
      <c r="C14" s="125" t="s">
        <v>445</v>
      </c>
    </row>
    <row r="15" spans="2:3" ht="33" x14ac:dyDescent="0.25">
      <c r="B15" s="124" t="s">
        <v>17</v>
      </c>
      <c r="C15" s="125" t="s">
        <v>18</v>
      </c>
    </row>
    <row r="16" spans="2:3" ht="33" x14ac:dyDescent="0.25">
      <c r="B16" s="124" t="s">
        <v>19</v>
      </c>
      <c r="C16" s="125" t="s">
        <v>20</v>
      </c>
    </row>
    <row r="17" spans="2:3" ht="66" x14ac:dyDescent="0.25">
      <c r="B17" s="124" t="s">
        <v>456</v>
      </c>
      <c r="C17" s="125" t="s">
        <v>457</v>
      </c>
    </row>
    <row r="18" spans="2:3" ht="16.5" x14ac:dyDescent="0.25">
      <c r="B18" s="128"/>
      <c r="C18" s="128"/>
    </row>
    <row r="19" spans="2:3" ht="16.5" x14ac:dyDescent="0.25">
      <c r="B19" s="123" t="s">
        <v>21</v>
      </c>
      <c r="C19" s="123" t="s">
        <v>2</v>
      </c>
    </row>
    <row r="20" spans="2:3" ht="18" customHeight="1" x14ac:dyDescent="0.25">
      <c r="B20" s="126" t="s">
        <v>22</v>
      </c>
      <c r="C20" s="129" t="s">
        <v>23</v>
      </c>
    </row>
    <row r="21" spans="2:3" ht="16.5" x14ac:dyDescent="0.25">
      <c r="B21" s="126" t="s">
        <v>24</v>
      </c>
      <c r="C21" s="129" t="s">
        <v>25</v>
      </c>
    </row>
    <row r="22" spans="2:3" ht="16.5" x14ac:dyDescent="0.25">
      <c r="B22" s="126" t="s">
        <v>26</v>
      </c>
      <c r="C22" s="129" t="s">
        <v>27</v>
      </c>
    </row>
    <row r="23" spans="2:3" ht="16.5" x14ac:dyDescent="0.25">
      <c r="B23" s="129" t="s">
        <v>28</v>
      </c>
      <c r="C23" s="129" t="s">
        <v>29</v>
      </c>
    </row>
    <row r="24" spans="2:3" ht="16.5" x14ac:dyDescent="0.25">
      <c r="B24" s="129" t="s">
        <v>30</v>
      </c>
      <c r="C24" s="129" t="s">
        <v>31</v>
      </c>
    </row>
    <row r="25" spans="2:3" ht="16.5" x14ac:dyDescent="0.25">
      <c r="B25" s="129" t="s">
        <v>32</v>
      </c>
      <c r="C25" s="129" t="s">
        <v>33</v>
      </c>
    </row>
    <row r="26" spans="2:3" ht="16.5" x14ac:dyDescent="0.25">
      <c r="B26" s="129" t="s">
        <v>34</v>
      </c>
      <c r="C26" s="129" t="s">
        <v>35</v>
      </c>
    </row>
    <row r="27" spans="2:3" ht="16.5" x14ac:dyDescent="0.25">
      <c r="B27" s="129" t="s">
        <v>36</v>
      </c>
      <c r="C27" s="129" t="s">
        <v>37</v>
      </c>
    </row>
    <row r="28" spans="2:3" ht="16.5" x14ac:dyDescent="0.25">
      <c r="B28" s="129" t="s">
        <v>38</v>
      </c>
      <c r="C28" s="129" t="s">
        <v>39</v>
      </c>
    </row>
    <row r="29" spans="2:3" ht="33" x14ac:dyDescent="0.25">
      <c r="B29" s="129" t="s">
        <v>40</v>
      </c>
      <c r="C29" s="130" t="s">
        <v>41</v>
      </c>
    </row>
    <row r="30" spans="2:3" ht="16.5" x14ac:dyDescent="0.25">
      <c r="B30" s="129" t="s">
        <v>42</v>
      </c>
      <c r="C30" s="129" t="s">
        <v>43</v>
      </c>
    </row>
    <row r="31" spans="2:3" ht="16.5" x14ac:dyDescent="0.25">
      <c r="B31" s="129" t="s">
        <v>44</v>
      </c>
      <c r="C31" s="129" t="s">
        <v>45</v>
      </c>
    </row>
    <row r="32" spans="2:3" ht="16.5" x14ac:dyDescent="0.25">
      <c r="B32" s="129" t="s">
        <v>46</v>
      </c>
      <c r="C32" s="129" t="s">
        <v>47</v>
      </c>
    </row>
    <row r="33" spans="2:3" ht="16.5" x14ac:dyDescent="0.25">
      <c r="B33" s="129" t="s">
        <v>48</v>
      </c>
      <c r="C33" s="129" t="s">
        <v>49</v>
      </c>
    </row>
    <row r="34" spans="2:3" ht="16.5" x14ac:dyDescent="0.25">
      <c r="B34" s="129" t="s">
        <v>50</v>
      </c>
      <c r="C34" s="129" t="s">
        <v>51</v>
      </c>
    </row>
    <row r="35" spans="2:3" ht="16.5" x14ac:dyDescent="0.25">
      <c r="B35" s="129" t="s">
        <v>52</v>
      </c>
      <c r="C35" s="129" t="s">
        <v>53</v>
      </c>
    </row>
    <row r="36" spans="2:3" ht="16.5" x14ac:dyDescent="0.25">
      <c r="B36" s="129" t="s">
        <v>54</v>
      </c>
      <c r="C36" s="129" t="s">
        <v>55</v>
      </c>
    </row>
    <row r="37" spans="2:3" ht="16.5" x14ac:dyDescent="0.25">
      <c r="B37" s="129" t="s">
        <v>56</v>
      </c>
      <c r="C37" s="129"/>
    </row>
    <row r="38" spans="2:3" ht="16.5" x14ac:dyDescent="0.25">
      <c r="B38" s="128"/>
      <c r="C38" s="128"/>
    </row>
    <row r="39" spans="2:3" ht="16.5" x14ac:dyDescent="0.25">
      <c r="B39" s="128"/>
      <c r="C39" s="128"/>
    </row>
    <row r="40" spans="2:3" ht="33" x14ac:dyDescent="0.25">
      <c r="B40" s="123" t="s">
        <v>377</v>
      </c>
      <c r="C40" s="123" t="s">
        <v>2</v>
      </c>
    </row>
    <row r="41" spans="2:3" ht="16.5" x14ac:dyDescent="0.25">
      <c r="B41" s="125" t="s">
        <v>378</v>
      </c>
      <c r="C41" s="130" t="s">
        <v>379</v>
      </c>
    </row>
    <row r="42" spans="2:3" ht="16.5" x14ac:dyDescent="0.25">
      <c r="B42" s="130" t="s">
        <v>380</v>
      </c>
      <c r="C42" s="130" t="s">
        <v>381</v>
      </c>
    </row>
    <row r="43" spans="2:3" ht="16.5" x14ac:dyDescent="0.25">
      <c r="B43" s="130" t="s">
        <v>382</v>
      </c>
      <c r="C43" s="130" t="s">
        <v>383</v>
      </c>
    </row>
    <row r="44" spans="2:3" ht="16.5" x14ac:dyDescent="0.25">
      <c r="B44" s="130" t="s">
        <v>384</v>
      </c>
      <c r="C44" s="130" t="s">
        <v>385</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1" t="s">
        <v>57</v>
      </c>
      <c r="C3" s="1"/>
    </row>
    <row r="4" spans="2:4" ht="13.5" thickTop="1" x14ac:dyDescent="0.25"/>
    <row r="5" spans="2:4" ht="13.5" x14ac:dyDescent="0.25">
      <c r="B5" s="132" t="s">
        <v>58</v>
      </c>
      <c r="C5" s="132" t="s">
        <v>59</v>
      </c>
    </row>
    <row r="6" spans="2:4" x14ac:dyDescent="0.25">
      <c r="B6" s="37" t="s">
        <v>60</v>
      </c>
      <c r="C6" s="38" t="s">
        <v>464</v>
      </c>
    </row>
    <row r="7" spans="2:4" x14ac:dyDescent="0.25">
      <c r="B7" s="37" t="s">
        <v>61</v>
      </c>
      <c r="C7" s="36" t="s">
        <v>465</v>
      </c>
    </row>
    <row r="8" spans="2:4" x14ac:dyDescent="0.25">
      <c r="B8" s="37" t="s">
        <v>62</v>
      </c>
      <c r="C8" s="36" t="s">
        <v>466</v>
      </c>
    </row>
    <row r="9" spans="2:4" x14ac:dyDescent="0.25">
      <c r="B9" s="37" t="s">
        <v>63</v>
      </c>
      <c r="C9" s="36">
        <v>2005</v>
      </c>
      <c r="D9" s="45"/>
    </row>
    <row r="10" spans="2:4" x14ac:dyDescent="0.25">
      <c r="B10" s="37" t="s">
        <v>64</v>
      </c>
      <c r="C10" s="37"/>
    </row>
    <row r="11" spans="2:4" x14ac:dyDescent="0.25">
      <c r="B11" s="64" t="s">
        <v>65</v>
      </c>
      <c r="C11" s="37">
        <v>0</v>
      </c>
    </row>
    <row r="12" spans="2:4" x14ac:dyDescent="0.25">
      <c r="B12" s="64" t="s">
        <v>66</v>
      </c>
      <c r="C12" s="37">
        <v>0</v>
      </c>
    </row>
    <row r="13" spans="2:4" x14ac:dyDescent="0.25">
      <c r="B13" s="64" t="s">
        <v>67</v>
      </c>
      <c r="C13" s="37">
        <v>1</v>
      </c>
    </row>
    <row r="14" spans="2:4" x14ac:dyDescent="0.25">
      <c r="B14" s="64" t="s">
        <v>68</v>
      </c>
      <c r="C14" s="37" t="s">
        <v>467</v>
      </c>
    </row>
    <row r="15" spans="2:4" x14ac:dyDescent="0.25">
      <c r="B15" s="64" t="s">
        <v>69</v>
      </c>
      <c r="C15" s="37">
        <v>0</v>
      </c>
    </row>
    <row r="16" spans="2:4" x14ac:dyDescent="0.25">
      <c r="B16" s="64" t="s">
        <v>70</v>
      </c>
      <c r="C16" s="37">
        <v>0</v>
      </c>
    </row>
    <row r="17" spans="2:4" x14ac:dyDescent="0.25">
      <c r="B17" s="37" t="s">
        <v>71</v>
      </c>
      <c r="C17" s="37" t="s">
        <v>468</v>
      </c>
      <c r="D17" s="62"/>
    </row>
    <row r="18" spans="2:4" x14ac:dyDescent="0.25">
      <c r="B18" s="37" t="s">
        <v>72</v>
      </c>
      <c r="C18" s="37" t="s">
        <v>469</v>
      </c>
    </row>
    <row r="19" spans="2:4" x14ac:dyDescent="0.25">
      <c r="B19" s="37" t="s">
        <v>73</v>
      </c>
      <c r="C19" s="37" t="s">
        <v>470</v>
      </c>
    </row>
    <row r="20" spans="2:4" x14ac:dyDescent="0.25">
      <c r="B20" s="37" t="s">
        <v>74</v>
      </c>
      <c r="C20" s="37">
        <v>238.07</v>
      </c>
    </row>
    <row r="21" spans="2:4" x14ac:dyDescent="0.25">
      <c r="B21" s="37" t="s">
        <v>75</v>
      </c>
      <c r="C21" s="37">
        <v>233.6</v>
      </c>
    </row>
    <row r="22" spans="2:4" x14ac:dyDescent="0.25">
      <c r="B22" s="37" t="s">
        <v>76</v>
      </c>
      <c r="C22" s="37">
        <v>0.12</v>
      </c>
    </row>
    <row r="23" spans="2:4" ht="25.5" x14ac:dyDescent="0.25">
      <c r="B23" s="37" t="s">
        <v>77</v>
      </c>
      <c r="C23" s="37" t="s">
        <v>471</v>
      </c>
    </row>
    <row r="24" spans="2:4" ht="13.5" x14ac:dyDescent="0.25">
      <c r="B24" s="37" t="s">
        <v>78</v>
      </c>
      <c r="C24" s="173" t="s">
        <v>472</v>
      </c>
    </row>
    <row r="25" spans="2:4" x14ac:dyDescent="0.25">
      <c r="B25" s="37" t="s">
        <v>79</v>
      </c>
      <c r="C25" s="37" t="s">
        <v>473</v>
      </c>
    </row>
    <row r="26" spans="2:4" x14ac:dyDescent="0.25">
      <c r="B26" s="37" t="s">
        <v>458</v>
      </c>
      <c r="C26" s="37">
        <f ca="1">YEAR(TODAY())</f>
        <v>2025</v>
      </c>
    </row>
    <row r="27" spans="2:4" ht="51" x14ac:dyDescent="0.25">
      <c r="B27" s="37" t="s">
        <v>406</v>
      </c>
      <c r="C27" s="39">
        <v>45974</v>
      </c>
    </row>
    <row r="28" spans="2:4" ht="25.5" x14ac:dyDescent="0.25">
      <c r="B28" s="37" t="s">
        <v>80</v>
      </c>
      <c r="C28" s="36" t="s">
        <v>474</v>
      </c>
    </row>
    <row r="29" spans="2:4" ht="39.75" customHeight="1" x14ac:dyDescent="0.25">
      <c r="B29" s="37" t="s">
        <v>81</v>
      </c>
      <c r="C29" s="36" t="s">
        <v>475</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E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69"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82</v>
      </c>
      <c r="B1" s="2" t="s">
        <v>83</v>
      </c>
      <c r="C1" s="2" t="s">
        <v>84</v>
      </c>
      <c r="D1" s="2" t="s">
        <v>58</v>
      </c>
      <c r="E1" s="2" t="s">
        <v>85</v>
      </c>
      <c r="F1" s="2" t="s">
        <v>86</v>
      </c>
      <c r="G1" s="2" t="s">
        <v>87</v>
      </c>
      <c r="H1" s="2" t="s">
        <v>88</v>
      </c>
      <c r="I1" s="2" t="s">
        <v>89</v>
      </c>
      <c r="J1" s="3" t="s">
        <v>389</v>
      </c>
      <c r="K1" s="3" t="s">
        <v>90</v>
      </c>
      <c r="L1" s="3" t="s">
        <v>376</v>
      </c>
    </row>
    <row r="2" spans="1:12" s="14" customFormat="1" x14ac:dyDescent="0.25">
      <c r="A2" s="177" t="s">
        <v>91</v>
      </c>
      <c r="B2" s="177" t="s">
        <v>91</v>
      </c>
      <c r="C2" s="190">
        <v>0</v>
      </c>
      <c r="D2" s="199" t="s">
        <v>92</v>
      </c>
      <c r="E2" s="187" t="s">
        <v>93</v>
      </c>
      <c r="F2" s="181" t="s">
        <v>94</v>
      </c>
      <c r="G2" s="185" t="s">
        <v>95</v>
      </c>
      <c r="H2" s="97" t="s">
        <v>96</v>
      </c>
      <c r="I2" s="5">
        <v>0</v>
      </c>
      <c r="J2" s="71" t="b">
        <v>0</v>
      </c>
      <c r="K2" s="6"/>
      <c r="L2" s="57"/>
    </row>
    <row r="3" spans="1:12" s="14" customFormat="1" ht="45" customHeight="1" x14ac:dyDescent="0.25">
      <c r="A3" s="178"/>
      <c r="B3" s="178"/>
      <c r="C3" s="191"/>
      <c r="D3" s="200"/>
      <c r="E3" s="188"/>
      <c r="F3" s="183"/>
      <c r="G3" s="245"/>
      <c r="H3" s="7" t="s">
        <v>97</v>
      </c>
      <c r="I3" s="8">
        <v>1</v>
      </c>
      <c r="J3" s="72" t="b">
        <v>0</v>
      </c>
      <c r="K3" s="9"/>
      <c r="L3" s="57"/>
    </row>
    <row r="4" spans="1:12" s="14" customFormat="1" ht="26.25" customHeight="1" x14ac:dyDescent="0.25">
      <c r="A4" s="178"/>
      <c r="B4" s="178"/>
      <c r="C4" s="191"/>
      <c r="D4" s="200"/>
      <c r="E4" s="188"/>
      <c r="F4" s="183"/>
      <c r="G4" s="245"/>
      <c r="H4" s="7" t="s">
        <v>98</v>
      </c>
      <c r="I4" s="8">
        <v>1</v>
      </c>
      <c r="J4" s="72" t="b">
        <v>0</v>
      </c>
      <c r="K4" s="9"/>
      <c r="L4" s="57"/>
    </row>
    <row r="5" spans="1:12" s="14" customFormat="1" ht="25.5" x14ac:dyDescent="0.25">
      <c r="A5" s="178"/>
      <c r="B5" s="178"/>
      <c r="C5" s="191"/>
      <c r="D5" s="200"/>
      <c r="E5" s="188"/>
      <c r="F5" s="183"/>
      <c r="G5" s="245"/>
      <c r="H5" s="7" t="s">
        <v>99</v>
      </c>
      <c r="I5" s="8">
        <v>2</v>
      </c>
      <c r="J5" s="72" t="b">
        <v>0</v>
      </c>
      <c r="K5" s="9"/>
      <c r="L5" s="57"/>
    </row>
    <row r="6" spans="1:12" s="14" customFormat="1" ht="51" x14ac:dyDescent="0.25">
      <c r="A6" s="178"/>
      <c r="B6" s="178"/>
      <c r="C6" s="191"/>
      <c r="D6" s="200"/>
      <c r="E6" s="188"/>
      <c r="F6" s="183"/>
      <c r="G6" s="245"/>
      <c r="H6" s="7" t="s">
        <v>100</v>
      </c>
      <c r="I6" s="8">
        <v>2</v>
      </c>
      <c r="J6" s="72" t="b">
        <v>0</v>
      </c>
      <c r="K6" s="9"/>
      <c r="L6" s="57"/>
    </row>
    <row r="7" spans="1:12" s="14" customFormat="1" x14ac:dyDescent="0.25">
      <c r="A7" s="178"/>
      <c r="B7" s="178"/>
      <c r="C7" s="191"/>
      <c r="D7" s="200"/>
      <c r="E7" s="188"/>
      <c r="F7" s="183"/>
      <c r="G7" s="245"/>
      <c r="H7" s="7" t="s">
        <v>101</v>
      </c>
      <c r="I7" s="8">
        <v>3</v>
      </c>
      <c r="J7" s="72" t="b">
        <v>0</v>
      </c>
      <c r="K7" s="9"/>
      <c r="L7" s="57"/>
    </row>
    <row r="8" spans="1:12" s="14" customFormat="1" ht="38.25" x14ac:dyDescent="0.25">
      <c r="A8" s="178"/>
      <c r="B8" s="178"/>
      <c r="C8" s="191"/>
      <c r="D8" s="200"/>
      <c r="E8" s="188"/>
      <c r="F8" s="183"/>
      <c r="G8" s="245"/>
      <c r="H8" s="7" t="s">
        <v>102</v>
      </c>
      <c r="I8" s="8">
        <v>3</v>
      </c>
      <c r="J8" s="72" t="b">
        <v>1</v>
      </c>
      <c r="K8" s="9" t="s">
        <v>289</v>
      </c>
      <c r="L8" s="57" t="s">
        <v>471</v>
      </c>
    </row>
    <row r="9" spans="1:12" s="14" customFormat="1" ht="25.5" x14ac:dyDescent="0.25">
      <c r="A9" s="179"/>
      <c r="B9" s="179"/>
      <c r="C9" s="192"/>
      <c r="D9" s="201"/>
      <c r="E9" s="189"/>
      <c r="F9" s="184"/>
      <c r="G9" s="186"/>
      <c r="H9" s="98" t="s">
        <v>103</v>
      </c>
      <c r="I9" s="11" t="s">
        <v>388</v>
      </c>
      <c r="J9" s="73" t="b">
        <v>0</v>
      </c>
      <c r="K9" s="12"/>
      <c r="L9" s="58"/>
    </row>
    <row r="10" spans="1:12" s="14" customFormat="1" ht="27.75" customHeight="1" x14ac:dyDescent="0.25">
      <c r="A10" s="177" t="s">
        <v>105</v>
      </c>
      <c r="B10" s="177" t="s">
        <v>106</v>
      </c>
      <c r="C10" s="190" t="s">
        <v>107</v>
      </c>
      <c r="D10" s="196" t="s">
        <v>108</v>
      </c>
      <c r="E10" s="193" t="s">
        <v>109</v>
      </c>
      <c r="F10" s="177" t="s">
        <v>94</v>
      </c>
      <c r="G10" s="177" t="s">
        <v>110</v>
      </c>
      <c r="H10" s="97" t="s">
        <v>111</v>
      </c>
      <c r="I10" s="5">
        <v>0</v>
      </c>
      <c r="J10" s="74" t="b">
        <v>0</v>
      </c>
      <c r="K10" s="17"/>
      <c r="L10" s="4"/>
    </row>
    <row r="11" spans="1:12" s="14" customFormat="1" ht="27.75" customHeight="1" x14ac:dyDescent="0.25">
      <c r="A11" s="178"/>
      <c r="B11" s="178"/>
      <c r="C11" s="191"/>
      <c r="D11" s="197"/>
      <c r="E11" s="194"/>
      <c r="F11" s="178"/>
      <c r="G11" s="178"/>
      <c r="H11" s="7" t="s">
        <v>112</v>
      </c>
      <c r="I11" s="8">
        <v>1</v>
      </c>
      <c r="J11" s="75" t="b">
        <v>0</v>
      </c>
      <c r="K11" s="15"/>
      <c r="L11" s="7"/>
    </row>
    <row r="12" spans="1:12" s="14" customFormat="1" ht="27.75" customHeight="1" x14ac:dyDescent="0.25">
      <c r="A12" s="178"/>
      <c r="B12" s="178"/>
      <c r="C12" s="191"/>
      <c r="D12" s="197"/>
      <c r="E12" s="194"/>
      <c r="F12" s="178"/>
      <c r="G12" s="178"/>
      <c r="H12" s="7" t="s">
        <v>113</v>
      </c>
      <c r="I12" s="8">
        <v>2</v>
      </c>
      <c r="J12" s="75" t="b">
        <v>0</v>
      </c>
      <c r="K12" s="15"/>
      <c r="L12" s="7"/>
    </row>
    <row r="13" spans="1:12" s="14" customFormat="1" ht="27.75" customHeight="1" x14ac:dyDescent="0.25">
      <c r="A13" s="178"/>
      <c r="B13" s="178"/>
      <c r="C13" s="191"/>
      <c r="D13" s="197"/>
      <c r="E13" s="194"/>
      <c r="F13" s="178"/>
      <c r="G13" s="178"/>
      <c r="H13" s="7" t="s">
        <v>114</v>
      </c>
      <c r="I13" s="8">
        <v>3</v>
      </c>
      <c r="J13" s="75" t="b">
        <v>0</v>
      </c>
      <c r="K13" s="15"/>
      <c r="L13" s="7"/>
    </row>
    <row r="14" spans="1:12" s="14" customFormat="1" ht="117.75" customHeight="1" x14ac:dyDescent="0.25">
      <c r="A14" s="179"/>
      <c r="B14" s="179"/>
      <c r="C14" s="192"/>
      <c r="D14" s="198"/>
      <c r="E14" s="195"/>
      <c r="F14" s="179"/>
      <c r="G14" s="179"/>
      <c r="H14" s="98" t="s">
        <v>386</v>
      </c>
      <c r="I14" s="11" t="s">
        <v>388</v>
      </c>
      <c r="J14" s="76" t="b">
        <v>1</v>
      </c>
      <c r="K14" s="18" t="s">
        <v>476</v>
      </c>
      <c r="L14" s="10" t="s">
        <v>477</v>
      </c>
    </row>
    <row r="15" spans="1:12" s="14" customFormat="1" ht="27.75" customHeight="1" x14ac:dyDescent="0.25">
      <c r="A15" s="177" t="s">
        <v>105</v>
      </c>
      <c r="B15" s="177" t="s">
        <v>106</v>
      </c>
      <c r="C15" s="190" t="s">
        <v>115</v>
      </c>
      <c r="D15" s="199" t="s">
        <v>116</v>
      </c>
      <c r="E15" s="193" t="s">
        <v>117</v>
      </c>
      <c r="F15" s="181" t="s">
        <v>94</v>
      </c>
      <c r="G15" s="177" t="s">
        <v>95</v>
      </c>
      <c r="H15" s="97" t="s">
        <v>118</v>
      </c>
      <c r="I15" s="5">
        <v>0</v>
      </c>
      <c r="J15" s="74" t="b">
        <v>0</v>
      </c>
      <c r="K15" s="17"/>
      <c r="L15" s="4"/>
    </row>
    <row r="16" spans="1:12" s="14" customFormat="1" ht="27.75" customHeight="1" x14ac:dyDescent="0.25">
      <c r="A16" s="178"/>
      <c r="B16" s="178"/>
      <c r="C16" s="191"/>
      <c r="D16" s="200"/>
      <c r="E16" s="194"/>
      <c r="F16" s="183"/>
      <c r="G16" s="178"/>
      <c r="H16" s="7" t="s">
        <v>112</v>
      </c>
      <c r="I16" s="8">
        <v>1</v>
      </c>
      <c r="J16" s="75" t="b">
        <v>0</v>
      </c>
      <c r="K16" s="15"/>
      <c r="L16" s="7"/>
    </row>
    <row r="17" spans="1:12" s="14" customFormat="1" ht="95.25" customHeight="1" x14ac:dyDescent="0.25">
      <c r="A17" s="178"/>
      <c r="B17" s="178"/>
      <c r="C17" s="191"/>
      <c r="D17" s="200"/>
      <c r="E17" s="194"/>
      <c r="F17" s="183"/>
      <c r="G17" s="178"/>
      <c r="H17" s="7" t="s">
        <v>113</v>
      </c>
      <c r="I17" s="8">
        <v>2</v>
      </c>
      <c r="J17" s="75" t="b">
        <v>1</v>
      </c>
      <c r="K17" s="15" t="s">
        <v>479</v>
      </c>
      <c r="L17" s="7" t="s">
        <v>478</v>
      </c>
    </row>
    <row r="18" spans="1:12" s="14" customFormat="1" ht="27.75" customHeight="1" x14ac:dyDescent="0.25">
      <c r="A18" s="178"/>
      <c r="B18" s="178"/>
      <c r="C18" s="191"/>
      <c r="D18" s="200"/>
      <c r="E18" s="194"/>
      <c r="F18" s="183"/>
      <c r="G18" s="178"/>
      <c r="H18" s="7" t="s">
        <v>114</v>
      </c>
      <c r="I18" s="8">
        <v>3</v>
      </c>
      <c r="J18" s="77" t="b">
        <v>0</v>
      </c>
      <c r="K18" s="15"/>
      <c r="L18" s="7"/>
    </row>
    <row r="19" spans="1:12" s="14" customFormat="1" ht="102" customHeight="1" x14ac:dyDescent="0.25">
      <c r="A19" s="179"/>
      <c r="B19" s="179"/>
      <c r="C19" s="192"/>
      <c r="D19" s="201"/>
      <c r="E19" s="195"/>
      <c r="F19" s="184"/>
      <c r="G19" s="179"/>
      <c r="H19" s="98" t="s">
        <v>387</v>
      </c>
      <c r="I19" s="11" t="s">
        <v>388</v>
      </c>
      <c r="J19" s="76" t="b">
        <v>0</v>
      </c>
      <c r="K19" s="18"/>
      <c r="L19" s="10"/>
    </row>
    <row r="20" spans="1:12" s="14" customFormat="1" ht="38.25" hidden="1" x14ac:dyDescent="0.25">
      <c r="A20" s="177" t="s">
        <v>105</v>
      </c>
      <c r="B20" s="177" t="s">
        <v>106</v>
      </c>
      <c r="C20" s="190" t="s">
        <v>119</v>
      </c>
      <c r="D20" s="199" t="s">
        <v>120</v>
      </c>
      <c r="E20" s="187" t="s">
        <v>121</v>
      </c>
      <c r="F20" s="181" t="s">
        <v>94</v>
      </c>
      <c r="G20" s="177" t="s">
        <v>95</v>
      </c>
      <c r="H20" s="4" t="s">
        <v>122</v>
      </c>
      <c r="I20" s="5">
        <v>0</v>
      </c>
      <c r="J20" s="74" t="b">
        <v>0</v>
      </c>
      <c r="K20" s="17"/>
      <c r="L20" s="4"/>
    </row>
    <row r="21" spans="1:12" s="14" customFormat="1" ht="38.25" hidden="1" x14ac:dyDescent="0.25">
      <c r="A21" s="178"/>
      <c r="B21" s="178"/>
      <c r="C21" s="191"/>
      <c r="D21" s="200"/>
      <c r="E21" s="188"/>
      <c r="F21" s="183"/>
      <c r="G21" s="178"/>
      <c r="H21" s="7" t="s">
        <v>123</v>
      </c>
      <c r="I21" s="8">
        <v>1</v>
      </c>
      <c r="J21" s="75" t="b">
        <v>0</v>
      </c>
      <c r="K21" s="15"/>
      <c r="L21" s="7"/>
    </row>
    <row r="22" spans="1:12" s="14" customFormat="1" ht="38.25" hidden="1" x14ac:dyDescent="0.25">
      <c r="A22" s="178"/>
      <c r="B22" s="178"/>
      <c r="C22" s="191"/>
      <c r="D22" s="200"/>
      <c r="E22" s="188"/>
      <c r="F22" s="183"/>
      <c r="G22" s="178"/>
      <c r="H22" s="7" t="s">
        <v>124</v>
      </c>
      <c r="I22" s="8">
        <v>2</v>
      </c>
      <c r="J22" s="75" t="b">
        <v>0</v>
      </c>
      <c r="K22" s="15"/>
      <c r="L22" s="7"/>
    </row>
    <row r="23" spans="1:12" s="14" customFormat="1" ht="38.25" hidden="1" x14ac:dyDescent="0.25">
      <c r="A23" s="178"/>
      <c r="B23" s="178"/>
      <c r="C23" s="191"/>
      <c r="D23" s="200"/>
      <c r="E23" s="188"/>
      <c r="F23" s="183"/>
      <c r="G23" s="178"/>
      <c r="H23" s="7" t="s">
        <v>125</v>
      </c>
      <c r="I23" s="8">
        <v>3</v>
      </c>
      <c r="J23" s="75" t="b">
        <v>0</v>
      </c>
      <c r="K23" s="15"/>
      <c r="L23" s="7"/>
    </row>
    <row r="24" spans="1:12" s="14" customFormat="1" ht="25.5" hidden="1" x14ac:dyDescent="0.25">
      <c r="A24" s="179"/>
      <c r="B24" s="179"/>
      <c r="C24" s="192"/>
      <c r="D24" s="201"/>
      <c r="E24" s="189"/>
      <c r="F24" s="184"/>
      <c r="G24" s="179"/>
      <c r="H24" s="10" t="s">
        <v>126</v>
      </c>
      <c r="I24" s="11" t="s">
        <v>388</v>
      </c>
      <c r="J24" s="76" t="b">
        <v>0</v>
      </c>
      <c r="K24" s="18"/>
      <c r="L24" s="10"/>
    </row>
    <row r="25" spans="1:12" s="14" customFormat="1" ht="38.25" x14ac:dyDescent="0.25">
      <c r="A25" s="177" t="s">
        <v>105</v>
      </c>
      <c r="B25" s="177" t="s">
        <v>106</v>
      </c>
      <c r="C25" s="190" t="s">
        <v>127</v>
      </c>
      <c r="D25" s="199" t="s">
        <v>128</v>
      </c>
      <c r="E25" s="187" t="s">
        <v>129</v>
      </c>
      <c r="F25" s="181" t="s">
        <v>94</v>
      </c>
      <c r="G25" s="177" t="s">
        <v>95</v>
      </c>
      <c r="H25" s="4" t="s">
        <v>130</v>
      </c>
      <c r="I25" s="5">
        <v>0</v>
      </c>
      <c r="J25" s="74" t="b">
        <v>0</v>
      </c>
      <c r="K25" s="17"/>
      <c r="L25" s="4"/>
    </row>
    <row r="26" spans="1:12" s="14" customFormat="1" ht="89.25" x14ac:dyDescent="0.25">
      <c r="A26" s="178"/>
      <c r="B26" s="178"/>
      <c r="C26" s="191"/>
      <c r="D26" s="200"/>
      <c r="E26" s="188"/>
      <c r="F26" s="183"/>
      <c r="G26" s="178"/>
      <c r="H26" s="7" t="s">
        <v>123</v>
      </c>
      <c r="I26" s="8">
        <v>1</v>
      </c>
      <c r="J26" s="75" t="b">
        <v>1</v>
      </c>
      <c r="K26" s="15" t="s">
        <v>480</v>
      </c>
      <c r="L26" s="7" t="s">
        <v>481</v>
      </c>
    </row>
    <row r="27" spans="1:12" s="14" customFormat="1" ht="38.25" x14ac:dyDescent="0.25">
      <c r="A27" s="178"/>
      <c r="B27" s="178"/>
      <c r="C27" s="191"/>
      <c r="D27" s="200"/>
      <c r="E27" s="188"/>
      <c r="F27" s="183"/>
      <c r="G27" s="178"/>
      <c r="H27" s="7" t="s">
        <v>124</v>
      </c>
      <c r="I27" s="8">
        <v>2</v>
      </c>
      <c r="J27" s="75" t="b">
        <v>0</v>
      </c>
      <c r="K27" s="15"/>
      <c r="L27" s="15"/>
    </row>
    <row r="28" spans="1:12" s="14" customFormat="1" ht="38.25" x14ac:dyDescent="0.25">
      <c r="A28" s="178"/>
      <c r="B28" s="178"/>
      <c r="C28" s="191"/>
      <c r="D28" s="200"/>
      <c r="E28" s="188"/>
      <c r="F28" s="183"/>
      <c r="G28" s="178"/>
      <c r="H28" s="7" t="s">
        <v>125</v>
      </c>
      <c r="I28" s="8">
        <v>3</v>
      </c>
      <c r="J28" s="75" t="b">
        <v>0</v>
      </c>
      <c r="K28" s="15"/>
      <c r="L28" s="7"/>
    </row>
    <row r="29" spans="1:12" s="14" customFormat="1" ht="25.5" x14ac:dyDescent="0.25">
      <c r="A29" s="179"/>
      <c r="B29" s="179"/>
      <c r="C29" s="192"/>
      <c r="D29" s="201"/>
      <c r="E29" s="189"/>
      <c r="F29" s="184"/>
      <c r="G29" s="179"/>
      <c r="H29" s="10" t="s">
        <v>126</v>
      </c>
      <c r="I29" s="11" t="s">
        <v>388</v>
      </c>
      <c r="J29" s="76" t="b">
        <v>0</v>
      </c>
      <c r="K29" s="18"/>
      <c r="L29" s="10"/>
    </row>
    <row r="30" spans="1:12" s="14" customFormat="1" ht="25.5" x14ac:dyDescent="0.25">
      <c r="A30" s="177" t="s">
        <v>105</v>
      </c>
      <c r="B30" s="177" t="s">
        <v>106</v>
      </c>
      <c r="C30" s="190" t="s">
        <v>131</v>
      </c>
      <c r="D30" s="199" t="s">
        <v>132</v>
      </c>
      <c r="E30" s="187" t="s">
        <v>133</v>
      </c>
      <c r="F30" s="181" t="s">
        <v>94</v>
      </c>
      <c r="G30" s="177" t="s">
        <v>95</v>
      </c>
      <c r="H30" s="4" t="s">
        <v>134</v>
      </c>
      <c r="I30" s="5">
        <v>0</v>
      </c>
      <c r="J30" s="74" t="b">
        <v>0</v>
      </c>
      <c r="K30" s="17"/>
      <c r="L30" s="4"/>
    </row>
    <row r="31" spans="1:12" s="14" customFormat="1" ht="38.25" x14ac:dyDescent="0.25">
      <c r="A31" s="178"/>
      <c r="B31" s="178"/>
      <c r="C31" s="191"/>
      <c r="D31" s="200"/>
      <c r="E31" s="188"/>
      <c r="F31" s="183"/>
      <c r="G31" s="178"/>
      <c r="H31" s="7" t="s">
        <v>135</v>
      </c>
      <c r="I31" s="8">
        <v>1</v>
      </c>
      <c r="J31" s="75" t="b">
        <v>0</v>
      </c>
      <c r="K31" s="15"/>
      <c r="L31" s="7"/>
    </row>
    <row r="32" spans="1:12" s="14" customFormat="1" ht="63.75" x14ac:dyDescent="0.25">
      <c r="A32" s="178"/>
      <c r="B32" s="178"/>
      <c r="C32" s="191"/>
      <c r="D32" s="200"/>
      <c r="E32" s="188"/>
      <c r="F32" s="183"/>
      <c r="G32" s="178"/>
      <c r="H32" s="7" t="s">
        <v>136</v>
      </c>
      <c r="I32" s="8">
        <v>2</v>
      </c>
      <c r="J32" s="77" t="b">
        <v>1</v>
      </c>
      <c r="K32" s="15" t="s">
        <v>9</v>
      </c>
      <c r="L32" s="7" t="s">
        <v>482</v>
      </c>
    </row>
    <row r="33" spans="1:12" s="14" customFormat="1" ht="25.5" x14ac:dyDescent="0.25">
      <c r="A33" s="179"/>
      <c r="B33" s="179"/>
      <c r="C33" s="192"/>
      <c r="D33" s="201"/>
      <c r="E33" s="189"/>
      <c r="F33" s="184"/>
      <c r="G33" s="179"/>
      <c r="H33" s="98" t="s">
        <v>137</v>
      </c>
      <c r="I33" s="16">
        <v>3</v>
      </c>
      <c r="J33" s="78" t="b">
        <v>0</v>
      </c>
      <c r="K33" s="16"/>
      <c r="L33" s="59"/>
    </row>
    <row r="34" spans="1:12" s="14" customFormat="1" x14ac:dyDescent="0.25">
      <c r="A34" s="177" t="s">
        <v>105</v>
      </c>
      <c r="B34" s="177" t="s">
        <v>106</v>
      </c>
      <c r="C34" s="190" t="s">
        <v>138</v>
      </c>
      <c r="D34" s="199" t="s">
        <v>139</v>
      </c>
      <c r="E34" s="187" t="s">
        <v>140</v>
      </c>
      <c r="F34" s="181" t="s">
        <v>94</v>
      </c>
      <c r="G34" s="177" t="s">
        <v>141</v>
      </c>
      <c r="H34" s="4" t="s">
        <v>142</v>
      </c>
      <c r="I34" s="5">
        <v>0</v>
      </c>
      <c r="J34" s="74" t="b">
        <v>0</v>
      </c>
      <c r="K34" s="17"/>
      <c r="L34" s="60"/>
    </row>
    <row r="35" spans="1:12" s="14" customFormat="1" ht="38.25" x14ac:dyDescent="0.25">
      <c r="A35" s="178"/>
      <c r="B35" s="178"/>
      <c r="C35" s="191"/>
      <c r="D35" s="200"/>
      <c r="E35" s="188"/>
      <c r="F35" s="183"/>
      <c r="G35" s="178"/>
      <c r="H35" s="7" t="s">
        <v>143</v>
      </c>
      <c r="I35" s="8">
        <v>1</v>
      </c>
      <c r="J35" s="75" t="b">
        <v>0</v>
      </c>
      <c r="K35" s="15"/>
      <c r="L35" s="61"/>
    </row>
    <row r="36" spans="1:12" s="14" customFormat="1" ht="140.25" x14ac:dyDescent="0.25">
      <c r="A36" s="178"/>
      <c r="B36" s="178"/>
      <c r="C36" s="191"/>
      <c r="D36" s="200"/>
      <c r="E36" s="188"/>
      <c r="F36" s="183"/>
      <c r="G36" s="178"/>
      <c r="H36" s="7" t="s">
        <v>144</v>
      </c>
      <c r="I36" s="8">
        <v>2</v>
      </c>
      <c r="J36" s="75" t="b">
        <v>1</v>
      </c>
      <c r="K36" s="172" t="s">
        <v>483</v>
      </c>
      <c r="L36" s="61" t="s">
        <v>484</v>
      </c>
    </row>
    <row r="37" spans="1:12" s="14" customFormat="1" x14ac:dyDescent="0.25">
      <c r="A37" s="179"/>
      <c r="B37" s="179"/>
      <c r="C37" s="192"/>
      <c r="D37" s="201"/>
      <c r="E37" s="189"/>
      <c r="F37" s="184"/>
      <c r="G37" s="179"/>
      <c r="H37" s="10" t="s">
        <v>145</v>
      </c>
      <c r="I37" s="11">
        <v>3</v>
      </c>
      <c r="J37" s="76" t="b">
        <v>0</v>
      </c>
      <c r="K37" s="18"/>
      <c r="L37" s="61"/>
    </row>
    <row r="38" spans="1:12" s="29" customFormat="1" ht="25.5" x14ac:dyDescent="0.25">
      <c r="A38" s="177" t="s">
        <v>105</v>
      </c>
      <c r="B38" s="177" t="s">
        <v>146</v>
      </c>
      <c r="C38" s="190" t="s">
        <v>147</v>
      </c>
      <c r="D38" s="199" t="s">
        <v>148</v>
      </c>
      <c r="E38" s="187" t="s">
        <v>149</v>
      </c>
      <c r="F38" s="202" t="s">
        <v>94</v>
      </c>
      <c r="G38" s="177" t="s">
        <v>95</v>
      </c>
      <c r="H38" s="97" t="s">
        <v>396</v>
      </c>
      <c r="I38" s="5">
        <v>0</v>
      </c>
      <c r="J38" s="74" t="b">
        <v>0</v>
      </c>
      <c r="K38" s="17"/>
      <c r="L38" s="4"/>
    </row>
    <row r="39" spans="1:12" s="29" customFormat="1" ht="51" x14ac:dyDescent="0.25">
      <c r="A39" s="178"/>
      <c r="B39" s="178"/>
      <c r="C39" s="191"/>
      <c r="D39" s="200"/>
      <c r="E39" s="188"/>
      <c r="F39" s="203"/>
      <c r="G39" s="178"/>
      <c r="H39" s="7" t="s">
        <v>150</v>
      </c>
      <c r="I39" s="8">
        <v>1</v>
      </c>
      <c r="J39" s="75" t="b">
        <v>0</v>
      </c>
      <c r="K39" s="15"/>
      <c r="L39" s="7"/>
    </row>
    <row r="40" spans="1:12" s="29" customFormat="1" ht="25.5" x14ac:dyDescent="0.25">
      <c r="A40" s="178"/>
      <c r="B40" s="178"/>
      <c r="C40" s="191"/>
      <c r="D40" s="200"/>
      <c r="E40" s="188"/>
      <c r="F40" s="203"/>
      <c r="G40" s="178"/>
      <c r="H40" s="7" t="s">
        <v>151</v>
      </c>
      <c r="I40" s="8">
        <v>1</v>
      </c>
      <c r="J40" s="75" t="b">
        <v>0</v>
      </c>
      <c r="K40" s="15"/>
      <c r="L40" s="7"/>
    </row>
    <row r="41" spans="1:12" s="29" customFormat="1" ht="25.5" x14ac:dyDescent="0.25">
      <c r="A41" s="178"/>
      <c r="B41" s="178"/>
      <c r="C41" s="191"/>
      <c r="D41" s="200"/>
      <c r="E41" s="188"/>
      <c r="F41" s="203"/>
      <c r="G41" s="178"/>
      <c r="H41" s="7" t="s">
        <v>152</v>
      </c>
      <c r="I41" s="8">
        <v>2</v>
      </c>
      <c r="J41" s="75" t="b">
        <v>0</v>
      </c>
      <c r="K41" s="15"/>
      <c r="L41" s="7"/>
    </row>
    <row r="42" spans="1:12" s="29" customFormat="1" ht="51" x14ac:dyDescent="0.25">
      <c r="A42" s="179"/>
      <c r="B42" s="179"/>
      <c r="C42" s="192"/>
      <c r="D42" s="201"/>
      <c r="E42" s="189"/>
      <c r="F42" s="204"/>
      <c r="G42" s="179"/>
      <c r="H42" s="10" t="s">
        <v>153</v>
      </c>
      <c r="I42" s="11">
        <v>3</v>
      </c>
      <c r="J42" s="79" t="b">
        <v>1</v>
      </c>
      <c r="K42" s="18" t="s">
        <v>9</v>
      </c>
      <c r="L42" s="10" t="s">
        <v>485</v>
      </c>
    </row>
    <row r="43" spans="1:12" s="29" customFormat="1" ht="25.5" x14ac:dyDescent="0.25">
      <c r="A43" s="177" t="s">
        <v>105</v>
      </c>
      <c r="B43" s="177" t="s">
        <v>146</v>
      </c>
      <c r="C43" s="190" t="s">
        <v>154</v>
      </c>
      <c r="D43" s="199" t="s">
        <v>155</v>
      </c>
      <c r="E43" s="187" t="s">
        <v>156</v>
      </c>
      <c r="F43" s="181" t="s">
        <v>94</v>
      </c>
      <c r="G43" s="177" t="s">
        <v>95</v>
      </c>
      <c r="H43" s="4" t="s">
        <v>157</v>
      </c>
      <c r="I43" s="5">
        <v>0</v>
      </c>
      <c r="J43" s="80" t="b">
        <v>0</v>
      </c>
      <c r="K43" s="17"/>
      <c r="L43" s="4"/>
    </row>
    <row r="44" spans="1:12" s="29" customFormat="1" ht="51" x14ac:dyDescent="0.25">
      <c r="A44" s="178"/>
      <c r="B44" s="178"/>
      <c r="C44" s="191"/>
      <c r="D44" s="200"/>
      <c r="E44" s="188"/>
      <c r="F44" s="183"/>
      <c r="G44" s="178"/>
      <c r="H44" s="7" t="s">
        <v>158</v>
      </c>
      <c r="I44" s="8">
        <v>1</v>
      </c>
      <c r="J44" s="75" t="b">
        <v>0</v>
      </c>
      <c r="K44" s="15"/>
      <c r="L44" s="7"/>
    </row>
    <row r="45" spans="1:12" s="29" customFormat="1" ht="38.25" x14ac:dyDescent="0.25">
      <c r="A45" s="178"/>
      <c r="B45" s="178"/>
      <c r="C45" s="191"/>
      <c r="D45" s="200"/>
      <c r="E45" s="188"/>
      <c r="F45" s="183"/>
      <c r="G45" s="178"/>
      <c r="H45" s="7" t="s">
        <v>159</v>
      </c>
      <c r="I45" s="8">
        <v>2</v>
      </c>
      <c r="J45" s="75" t="b">
        <v>0</v>
      </c>
      <c r="K45" s="15"/>
      <c r="L45" s="7"/>
    </row>
    <row r="46" spans="1:12" s="29" customFormat="1" ht="38.25" x14ac:dyDescent="0.25">
      <c r="A46" s="179"/>
      <c r="B46" s="179"/>
      <c r="C46" s="192"/>
      <c r="D46" s="201"/>
      <c r="E46" s="189"/>
      <c r="F46" s="184"/>
      <c r="G46" s="179"/>
      <c r="H46" s="10" t="s">
        <v>160</v>
      </c>
      <c r="I46" s="11">
        <v>3</v>
      </c>
      <c r="J46" s="76" t="b">
        <v>1</v>
      </c>
      <c r="K46" s="18" t="s">
        <v>9</v>
      </c>
      <c r="L46" s="10" t="s">
        <v>486</v>
      </c>
    </row>
    <row r="47" spans="1:12" s="29" customFormat="1" ht="13.5" customHeight="1" x14ac:dyDescent="0.25">
      <c r="A47" s="177" t="s">
        <v>105</v>
      </c>
      <c r="B47" s="177" t="s">
        <v>146</v>
      </c>
      <c r="C47" s="190" t="s">
        <v>161</v>
      </c>
      <c r="D47" s="196" t="s">
        <v>162</v>
      </c>
      <c r="E47" s="193" t="s">
        <v>163</v>
      </c>
      <c r="F47" s="177" t="s">
        <v>164</v>
      </c>
      <c r="G47" s="177" t="s">
        <v>95</v>
      </c>
      <c r="H47" s="193" t="s">
        <v>165</v>
      </c>
      <c r="I47" s="32" t="s">
        <v>104</v>
      </c>
      <c r="J47" s="31" t="s">
        <v>24</v>
      </c>
      <c r="K47" s="32" t="s">
        <v>9</v>
      </c>
      <c r="L47" s="34" t="s">
        <v>487</v>
      </c>
    </row>
    <row r="48" spans="1:12" s="29" customFormat="1" ht="38.25" x14ac:dyDescent="0.25">
      <c r="A48" s="178"/>
      <c r="B48" s="178"/>
      <c r="C48" s="191"/>
      <c r="D48" s="197"/>
      <c r="E48" s="194"/>
      <c r="F48" s="178"/>
      <c r="G48" s="178"/>
      <c r="H48" s="248"/>
      <c r="I48" s="40" t="s">
        <v>104</v>
      </c>
      <c r="J48" s="35" t="s">
        <v>30</v>
      </c>
      <c r="K48" s="40" t="s">
        <v>488</v>
      </c>
      <c r="L48" s="37" t="s">
        <v>489</v>
      </c>
    </row>
    <row r="49" spans="1:12" s="29" customFormat="1" ht="25.5" x14ac:dyDescent="0.25">
      <c r="A49" s="178"/>
      <c r="B49" s="178"/>
      <c r="C49" s="191"/>
      <c r="D49" s="197"/>
      <c r="E49" s="194"/>
      <c r="F49" s="178"/>
      <c r="G49" s="178"/>
      <c r="H49" s="248"/>
      <c r="I49" s="40" t="s">
        <v>104</v>
      </c>
      <c r="J49" s="35" t="s">
        <v>40</v>
      </c>
      <c r="K49" s="40" t="s">
        <v>9</v>
      </c>
      <c r="L49" s="37" t="s">
        <v>490</v>
      </c>
    </row>
    <row r="50" spans="1:12" s="29" customFormat="1" ht="25.5" x14ac:dyDescent="0.25">
      <c r="A50" s="178"/>
      <c r="B50" s="178"/>
      <c r="C50" s="191"/>
      <c r="D50" s="197"/>
      <c r="E50" s="194"/>
      <c r="F50" s="178"/>
      <c r="G50" s="178"/>
      <c r="H50" s="248"/>
      <c r="I50" s="40" t="s">
        <v>104</v>
      </c>
      <c r="J50" s="35" t="s">
        <v>42</v>
      </c>
      <c r="K50" s="40" t="s">
        <v>9</v>
      </c>
      <c r="L50" s="37" t="s">
        <v>491</v>
      </c>
    </row>
    <row r="51" spans="1:12" s="29" customFormat="1" ht="90" customHeight="1" x14ac:dyDescent="0.25">
      <c r="A51" s="179"/>
      <c r="B51" s="179"/>
      <c r="C51" s="192"/>
      <c r="D51" s="198"/>
      <c r="E51" s="195"/>
      <c r="F51" s="179"/>
      <c r="G51" s="179"/>
      <c r="H51" s="195"/>
      <c r="I51" s="32" t="s">
        <v>104</v>
      </c>
      <c r="J51" s="31" t="s">
        <v>50</v>
      </c>
      <c r="K51" s="32" t="s">
        <v>9</v>
      </c>
      <c r="L51" s="34" t="s">
        <v>492</v>
      </c>
    </row>
    <row r="52" spans="1:12" s="29" customFormat="1" ht="38.25" x14ac:dyDescent="0.25">
      <c r="A52" s="177" t="s">
        <v>105</v>
      </c>
      <c r="B52" s="177" t="s">
        <v>146</v>
      </c>
      <c r="C52" s="190">
        <v>4</v>
      </c>
      <c r="D52" s="199" t="s">
        <v>166</v>
      </c>
      <c r="E52" s="187" t="s">
        <v>167</v>
      </c>
      <c r="F52" s="181" t="s">
        <v>94</v>
      </c>
      <c r="G52" s="177" t="s">
        <v>95</v>
      </c>
      <c r="H52" s="46" t="s">
        <v>168</v>
      </c>
      <c r="I52" s="5">
        <v>0</v>
      </c>
      <c r="J52" s="80" t="b">
        <v>0</v>
      </c>
      <c r="K52" s="17"/>
      <c r="L52" s="4"/>
    </row>
    <row r="53" spans="1:12" s="29" customFormat="1" ht="76.5" x14ac:dyDescent="0.25">
      <c r="A53" s="178"/>
      <c r="B53" s="178"/>
      <c r="C53" s="191"/>
      <c r="D53" s="197"/>
      <c r="E53" s="194"/>
      <c r="F53" s="178"/>
      <c r="G53" s="178"/>
      <c r="H53" s="7" t="s">
        <v>169</v>
      </c>
      <c r="I53" s="31">
        <v>2</v>
      </c>
      <c r="J53" s="81" t="b">
        <v>1</v>
      </c>
      <c r="K53" s="32" t="s">
        <v>9</v>
      </c>
      <c r="L53" s="34" t="s">
        <v>493</v>
      </c>
    </row>
    <row r="54" spans="1:12" s="29" customFormat="1" ht="51" x14ac:dyDescent="0.25">
      <c r="A54" s="179"/>
      <c r="B54" s="179"/>
      <c r="C54" s="192"/>
      <c r="D54" s="201"/>
      <c r="E54" s="189"/>
      <c r="F54" s="184"/>
      <c r="G54" s="179"/>
      <c r="H54" s="10" t="s">
        <v>170</v>
      </c>
      <c r="I54" s="11">
        <v>3</v>
      </c>
      <c r="J54" s="79" t="b">
        <v>0</v>
      </c>
      <c r="K54" s="18"/>
      <c r="L54" s="10"/>
    </row>
    <row r="55" spans="1:12" ht="25.5" x14ac:dyDescent="0.25">
      <c r="A55" s="177" t="s">
        <v>105</v>
      </c>
      <c r="B55" s="177" t="s">
        <v>171</v>
      </c>
      <c r="C55" s="190" t="s">
        <v>172</v>
      </c>
      <c r="D55" s="199" t="s">
        <v>173</v>
      </c>
      <c r="E55" s="187" t="s">
        <v>174</v>
      </c>
      <c r="F55" s="181" t="s">
        <v>175</v>
      </c>
      <c r="G55" s="177" t="s">
        <v>95</v>
      </c>
      <c r="H55" s="97" t="s">
        <v>176</v>
      </c>
      <c r="I55" s="5">
        <v>0</v>
      </c>
      <c r="J55" s="74" t="b">
        <v>0</v>
      </c>
      <c r="K55" s="17"/>
      <c r="L55" s="4"/>
    </row>
    <row r="56" spans="1:12" ht="51" x14ac:dyDescent="0.25">
      <c r="A56" s="178"/>
      <c r="B56" s="178"/>
      <c r="C56" s="191"/>
      <c r="D56" s="200"/>
      <c r="E56" s="188"/>
      <c r="F56" s="183"/>
      <c r="G56" s="178"/>
      <c r="H56" s="99" t="s">
        <v>177</v>
      </c>
      <c r="I56" s="8">
        <v>1</v>
      </c>
      <c r="J56" s="75" t="b">
        <v>0</v>
      </c>
      <c r="K56" s="15"/>
      <c r="L56" s="7"/>
    </row>
    <row r="57" spans="1:12" ht="25.5" x14ac:dyDescent="0.25">
      <c r="A57" s="178"/>
      <c r="B57" s="178"/>
      <c r="C57" s="191"/>
      <c r="D57" s="200"/>
      <c r="E57" s="188"/>
      <c r="F57" s="183"/>
      <c r="G57" s="178"/>
      <c r="H57" s="7" t="s">
        <v>178</v>
      </c>
      <c r="I57" s="8">
        <v>1</v>
      </c>
      <c r="J57" s="75" t="b">
        <v>0</v>
      </c>
      <c r="K57" s="15"/>
      <c r="L57" s="7"/>
    </row>
    <row r="58" spans="1:12" ht="38.25" x14ac:dyDescent="0.25">
      <c r="A58" s="178"/>
      <c r="B58" s="178"/>
      <c r="C58" s="191"/>
      <c r="D58" s="200"/>
      <c r="E58" s="188"/>
      <c r="F58" s="183"/>
      <c r="G58" s="178"/>
      <c r="H58" s="7" t="s">
        <v>179</v>
      </c>
      <c r="I58" s="8">
        <v>2</v>
      </c>
      <c r="J58" s="77" t="b">
        <v>0</v>
      </c>
      <c r="K58" s="15"/>
      <c r="L58" s="7"/>
    </row>
    <row r="59" spans="1:12" ht="114.75" x14ac:dyDescent="0.25">
      <c r="A59" s="179"/>
      <c r="B59" s="179"/>
      <c r="C59" s="192"/>
      <c r="D59" s="201"/>
      <c r="E59" s="189"/>
      <c r="F59" s="184"/>
      <c r="G59" s="179"/>
      <c r="H59" s="10" t="s">
        <v>180</v>
      </c>
      <c r="I59" s="11">
        <v>3</v>
      </c>
      <c r="J59" s="76" t="b">
        <v>1</v>
      </c>
      <c r="K59" s="18" t="s">
        <v>476</v>
      </c>
      <c r="L59" s="10" t="s">
        <v>494</v>
      </c>
    </row>
    <row r="60" spans="1:12" ht="26.25" customHeight="1" x14ac:dyDescent="0.25">
      <c r="A60" s="177" t="s">
        <v>105</v>
      </c>
      <c r="B60" s="177" t="s">
        <v>171</v>
      </c>
      <c r="C60" s="190" t="s">
        <v>181</v>
      </c>
      <c r="D60" s="199" t="s">
        <v>182</v>
      </c>
      <c r="E60" s="187" t="s">
        <v>183</v>
      </c>
      <c r="F60" s="181" t="s">
        <v>94</v>
      </c>
      <c r="G60" s="177" t="s">
        <v>95</v>
      </c>
      <c r="H60" s="4" t="s">
        <v>184</v>
      </c>
      <c r="I60" s="5">
        <v>0</v>
      </c>
      <c r="J60" s="74" t="b">
        <v>0</v>
      </c>
      <c r="K60" s="17"/>
      <c r="L60" s="4"/>
    </row>
    <row r="61" spans="1:12" ht="55.5" customHeight="1" x14ac:dyDescent="0.25">
      <c r="A61" s="178"/>
      <c r="B61" s="178"/>
      <c r="C61" s="191"/>
      <c r="D61" s="200"/>
      <c r="E61" s="188"/>
      <c r="F61" s="183"/>
      <c r="G61" s="178"/>
      <c r="H61" s="7" t="s">
        <v>185</v>
      </c>
      <c r="I61" s="8">
        <v>1</v>
      </c>
      <c r="J61" s="77" t="b">
        <v>0</v>
      </c>
      <c r="K61" s="15"/>
      <c r="L61" s="7"/>
    </row>
    <row r="62" spans="1:12" ht="76.5" x14ac:dyDescent="0.25">
      <c r="A62" s="178"/>
      <c r="B62" s="178"/>
      <c r="C62" s="191"/>
      <c r="D62" s="200"/>
      <c r="E62" s="188"/>
      <c r="F62" s="183"/>
      <c r="G62" s="178"/>
      <c r="H62" s="7" t="s">
        <v>186</v>
      </c>
      <c r="I62" s="8">
        <v>2</v>
      </c>
      <c r="J62" s="75" t="b">
        <v>0</v>
      </c>
      <c r="K62" s="15"/>
      <c r="L62" s="7"/>
    </row>
    <row r="63" spans="1:12" ht="51" customHeight="1" x14ac:dyDescent="0.25">
      <c r="A63" s="179"/>
      <c r="B63" s="179"/>
      <c r="C63" s="192"/>
      <c r="D63" s="201"/>
      <c r="E63" s="189"/>
      <c r="F63" s="184"/>
      <c r="G63" s="179"/>
      <c r="H63" s="10" t="s">
        <v>187</v>
      </c>
      <c r="I63" s="11">
        <v>3</v>
      </c>
      <c r="J63" s="79" t="b">
        <v>1</v>
      </c>
      <c r="K63" s="18" t="s">
        <v>9</v>
      </c>
      <c r="L63" s="171" t="s">
        <v>495</v>
      </c>
    </row>
    <row r="64" spans="1:12" ht="25.5" x14ac:dyDescent="0.25">
      <c r="A64" s="177" t="s">
        <v>105</v>
      </c>
      <c r="B64" s="177" t="s">
        <v>171</v>
      </c>
      <c r="C64" s="190" t="s">
        <v>188</v>
      </c>
      <c r="D64" s="199" t="s">
        <v>189</v>
      </c>
      <c r="E64" s="187" t="s">
        <v>190</v>
      </c>
      <c r="F64" s="181" t="s">
        <v>175</v>
      </c>
      <c r="G64" s="177" t="s">
        <v>95</v>
      </c>
      <c r="H64" s="4" t="s">
        <v>191</v>
      </c>
      <c r="I64" s="5" t="s">
        <v>388</v>
      </c>
      <c r="J64" s="80" t="b">
        <v>1</v>
      </c>
      <c r="K64" s="17" t="s">
        <v>476</v>
      </c>
      <c r="L64" s="4" t="s">
        <v>496</v>
      </c>
    </row>
    <row r="65" spans="1:12" x14ac:dyDescent="0.25">
      <c r="A65" s="178"/>
      <c r="B65" s="178"/>
      <c r="C65" s="191"/>
      <c r="D65" s="200"/>
      <c r="E65" s="188"/>
      <c r="F65" s="183"/>
      <c r="G65" s="178"/>
      <c r="H65" s="7" t="s">
        <v>192</v>
      </c>
      <c r="I65" s="8">
        <v>0</v>
      </c>
      <c r="J65" s="75" t="b">
        <v>0</v>
      </c>
      <c r="K65" s="15"/>
      <c r="L65" s="7"/>
    </row>
    <row r="66" spans="1:12" ht="27.75" customHeight="1" x14ac:dyDescent="0.25">
      <c r="A66" s="179"/>
      <c r="B66" s="179"/>
      <c r="C66" s="192"/>
      <c r="D66" s="201"/>
      <c r="E66" s="189"/>
      <c r="F66" s="184"/>
      <c r="G66" s="179"/>
      <c r="H66" s="10" t="s">
        <v>193</v>
      </c>
      <c r="I66" s="11">
        <v>3</v>
      </c>
      <c r="J66" s="76" t="b">
        <v>0</v>
      </c>
      <c r="K66" s="18"/>
      <c r="L66" s="10"/>
    </row>
    <row r="67" spans="1:12" ht="25.5" x14ac:dyDescent="0.25">
      <c r="A67" s="177" t="s">
        <v>105</v>
      </c>
      <c r="B67" s="177" t="s">
        <v>171</v>
      </c>
      <c r="C67" s="190" t="s">
        <v>194</v>
      </c>
      <c r="D67" s="199" t="s">
        <v>195</v>
      </c>
      <c r="E67" s="187" t="s">
        <v>196</v>
      </c>
      <c r="F67" s="181" t="s">
        <v>175</v>
      </c>
      <c r="G67" s="177" t="s">
        <v>95</v>
      </c>
      <c r="H67" s="4" t="s">
        <v>191</v>
      </c>
      <c r="I67" s="5" t="s">
        <v>388</v>
      </c>
      <c r="J67" s="80" t="b">
        <v>0</v>
      </c>
      <c r="K67" s="17"/>
      <c r="L67" s="4"/>
    </row>
    <row r="68" spans="1:12" x14ac:dyDescent="0.25">
      <c r="A68" s="178"/>
      <c r="B68" s="178"/>
      <c r="C68" s="191"/>
      <c r="D68" s="200"/>
      <c r="E68" s="188"/>
      <c r="F68" s="183"/>
      <c r="G68" s="178"/>
      <c r="H68" s="7" t="s">
        <v>192</v>
      </c>
      <c r="I68" s="8">
        <v>1</v>
      </c>
      <c r="J68" s="77" t="b">
        <v>0</v>
      </c>
      <c r="K68" s="15"/>
      <c r="L68" s="7"/>
    </row>
    <row r="69" spans="1:12" ht="39" customHeight="1" x14ac:dyDescent="0.25">
      <c r="A69" s="179"/>
      <c r="B69" s="179"/>
      <c r="C69" s="192"/>
      <c r="D69" s="201"/>
      <c r="E69" s="189"/>
      <c r="F69" s="184"/>
      <c r="G69" s="179"/>
      <c r="H69" s="10" t="s">
        <v>193</v>
      </c>
      <c r="I69" s="11">
        <v>3</v>
      </c>
      <c r="J69" s="79" t="b">
        <v>1</v>
      </c>
      <c r="K69" s="18" t="s">
        <v>476</v>
      </c>
      <c r="L69" s="10" t="s">
        <v>497</v>
      </c>
    </row>
    <row r="70" spans="1:12" ht="63.75" x14ac:dyDescent="0.25">
      <c r="A70" s="185" t="s">
        <v>105</v>
      </c>
      <c r="B70" s="185" t="s">
        <v>197</v>
      </c>
      <c r="C70" s="246" t="s">
        <v>198</v>
      </c>
      <c r="D70" s="199" t="s">
        <v>199</v>
      </c>
      <c r="E70" s="205" t="s">
        <v>200</v>
      </c>
      <c r="F70" s="181" t="s">
        <v>175</v>
      </c>
      <c r="G70" s="175" t="s">
        <v>95</v>
      </c>
      <c r="H70" s="4" t="s">
        <v>201</v>
      </c>
      <c r="I70" s="5" t="s">
        <v>104</v>
      </c>
      <c r="J70" s="80" t="b">
        <v>1</v>
      </c>
      <c r="K70" s="21" t="s">
        <v>9</v>
      </c>
      <c r="L70" s="19" t="s">
        <v>498</v>
      </c>
    </row>
    <row r="71" spans="1:12" ht="208.5" customHeight="1" x14ac:dyDescent="0.25">
      <c r="A71" s="186"/>
      <c r="B71" s="186"/>
      <c r="C71" s="247"/>
      <c r="D71" s="201"/>
      <c r="E71" s="206"/>
      <c r="F71" s="184"/>
      <c r="G71" s="180"/>
      <c r="H71" s="98" t="s">
        <v>202</v>
      </c>
      <c r="I71" s="11" t="s">
        <v>104</v>
      </c>
      <c r="J71" s="82" t="b">
        <v>0</v>
      </c>
      <c r="K71" s="16"/>
      <c r="L71" s="20"/>
    </row>
    <row r="72" spans="1:12" x14ac:dyDescent="0.25">
      <c r="A72" s="177" t="s">
        <v>105</v>
      </c>
      <c r="B72" s="177" t="s">
        <v>197</v>
      </c>
      <c r="C72" s="190" t="s">
        <v>203</v>
      </c>
      <c r="D72" s="199" t="s">
        <v>204</v>
      </c>
      <c r="E72" s="187" t="s">
        <v>205</v>
      </c>
      <c r="F72" s="181" t="s">
        <v>94</v>
      </c>
      <c r="G72" s="177" t="s">
        <v>95</v>
      </c>
      <c r="H72" s="97" t="s">
        <v>206</v>
      </c>
      <c r="I72" s="5">
        <v>0</v>
      </c>
      <c r="J72" s="83" t="b">
        <v>0</v>
      </c>
      <c r="K72" s="17"/>
      <c r="L72" s="4"/>
    </row>
    <row r="73" spans="1:12" ht="41.25" customHeight="1" x14ac:dyDescent="0.25">
      <c r="A73" s="178"/>
      <c r="B73" s="178"/>
      <c r="C73" s="191"/>
      <c r="D73" s="200"/>
      <c r="E73" s="188"/>
      <c r="F73" s="183"/>
      <c r="G73" s="178"/>
      <c r="H73" s="7" t="s">
        <v>207</v>
      </c>
      <c r="I73" s="8">
        <v>1</v>
      </c>
      <c r="J73" s="75" t="b">
        <v>0</v>
      </c>
      <c r="K73" s="15"/>
      <c r="L73" s="7"/>
    </row>
    <row r="74" spans="1:12" ht="120" customHeight="1" x14ac:dyDescent="0.25">
      <c r="A74" s="178"/>
      <c r="B74" s="178"/>
      <c r="C74" s="191"/>
      <c r="D74" s="200"/>
      <c r="E74" s="188"/>
      <c r="F74" s="183"/>
      <c r="G74" s="178"/>
      <c r="H74" s="7" t="s">
        <v>208</v>
      </c>
      <c r="I74" s="8">
        <v>2</v>
      </c>
      <c r="J74" s="77" t="b">
        <v>1</v>
      </c>
      <c r="K74" s="15" t="s">
        <v>9</v>
      </c>
      <c r="L74" s="7" t="s">
        <v>499</v>
      </c>
    </row>
    <row r="75" spans="1:12" ht="49.5" customHeight="1" x14ac:dyDescent="0.25">
      <c r="A75" s="179"/>
      <c r="B75" s="179"/>
      <c r="C75" s="192"/>
      <c r="D75" s="201"/>
      <c r="E75" s="189"/>
      <c r="F75" s="184"/>
      <c r="G75" s="179"/>
      <c r="H75" s="10" t="s">
        <v>209</v>
      </c>
      <c r="I75" s="11">
        <v>3</v>
      </c>
      <c r="J75" s="76" t="b">
        <v>0</v>
      </c>
      <c r="K75" s="18"/>
      <c r="L75" s="10"/>
    </row>
    <row r="76" spans="1:12" ht="21" customHeight="1" x14ac:dyDescent="0.25">
      <c r="A76" s="177" t="s">
        <v>105</v>
      </c>
      <c r="B76" s="177" t="s">
        <v>197</v>
      </c>
      <c r="C76" s="190" t="s">
        <v>210</v>
      </c>
      <c r="D76" s="199" t="s">
        <v>211</v>
      </c>
      <c r="E76" s="187" t="s">
        <v>212</v>
      </c>
      <c r="F76" s="181" t="s">
        <v>175</v>
      </c>
      <c r="G76" s="177" t="s">
        <v>95</v>
      </c>
      <c r="H76" s="4" t="s">
        <v>213</v>
      </c>
      <c r="I76" s="5" t="s">
        <v>388</v>
      </c>
      <c r="J76" s="74" t="b">
        <v>0</v>
      </c>
      <c r="K76" s="17"/>
      <c r="L76" s="4"/>
    </row>
    <row r="77" spans="1:12" ht="42" customHeight="1" x14ac:dyDescent="0.25">
      <c r="A77" s="178"/>
      <c r="B77" s="178"/>
      <c r="C77" s="191"/>
      <c r="D77" s="200"/>
      <c r="E77" s="188"/>
      <c r="F77" s="183"/>
      <c r="G77" s="178"/>
      <c r="H77" s="7" t="s">
        <v>214</v>
      </c>
      <c r="I77" s="8">
        <v>0</v>
      </c>
      <c r="J77" s="75" t="b">
        <v>0</v>
      </c>
      <c r="K77" s="15"/>
      <c r="L77" s="7"/>
    </row>
    <row r="78" spans="1:12" ht="38.25" customHeight="1" x14ac:dyDescent="0.25">
      <c r="A78" s="178"/>
      <c r="B78" s="178"/>
      <c r="C78" s="191"/>
      <c r="D78" s="200"/>
      <c r="E78" s="188"/>
      <c r="F78" s="183"/>
      <c r="G78" s="178"/>
      <c r="H78" s="7" t="s">
        <v>215</v>
      </c>
      <c r="I78" s="8">
        <v>0</v>
      </c>
      <c r="J78" s="77" t="b">
        <v>0</v>
      </c>
      <c r="K78" s="15"/>
      <c r="L78" s="7"/>
    </row>
    <row r="79" spans="1:12" ht="144.94999999999999" customHeight="1" x14ac:dyDescent="0.25">
      <c r="A79" s="179"/>
      <c r="B79" s="179"/>
      <c r="C79" s="192"/>
      <c r="D79" s="201"/>
      <c r="E79" s="189"/>
      <c r="F79" s="184"/>
      <c r="G79" s="179"/>
      <c r="H79" s="10" t="s">
        <v>193</v>
      </c>
      <c r="I79" s="11">
        <v>3</v>
      </c>
      <c r="J79" s="79" t="b">
        <v>1</v>
      </c>
      <c r="K79" s="18" t="s">
        <v>9</v>
      </c>
      <c r="L79" s="10" t="s">
        <v>500</v>
      </c>
    </row>
    <row r="80" spans="1:12" ht="38.25" x14ac:dyDescent="0.25">
      <c r="A80" s="175" t="s">
        <v>105</v>
      </c>
      <c r="B80" s="175" t="s">
        <v>197</v>
      </c>
      <c r="C80" s="242" t="s">
        <v>216</v>
      </c>
      <c r="D80" s="207" t="s">
        <v>217</v>
      </c>
      <c r="E80" s="205" t="s">
        <v>218</v>
      </c>
      <c r="F80" s="181" t="s">
        <v>94</v>
      </c>
      <c r="G80" s="175" t="s">
        <v>95</v>
      </c>
      <c r="H80" s="4" t="s">
        <v>219</v>
      </c>
      <c r="I80" s="21">
        <v>0</v>
      </c>
      <c r="J80" s="84" t="b">
        <v>0</v>
      </c>
      <c r="K80" s="21"/>
      <c r="L80" s="19"/>
    </row>
    <row r="81" spans="1:12" ht="25.5" x14ac:dyDescent="0.25">
      <c r="A81" s="176"/>
      <c r="B81" s="176"/>
      <c r="C81" s="243"/>
      <c r="D81" s="208"/>
      <c r="E81" s="210"/>
      <c r="F81" s="183"/>
      <c r="G81" s="176"/>
      <c r="H81" s="7" t="s">
        <v>220</v>
      </c>
      <c r="I81" s="23">
        <v>1</v>
      </c>
      <c r="J81" s="85" t="b">
        <v>0</v>
      </c>
      <c r="K81" s="23"/>
      <c r="L81" s="22"/>
    </row>
    <row r="82" spans="1:12" ht="165.75" x14ac:dyDescent="0.25">
      <c r="A82" s="176"/>
      <c r="B82" s="176"/>
      <c r="C82" s="243"/>
      <c r="D82" s="208"/>
      <c r="E82" s="210"/>
      <c r="F82" s="183"/>
      <c r="G82" s="176"/>
      <c r="H82" s="7" t="s">
        <v>221</v>
      </c>
      <c r="I82" s="23">
        <v>2</v>
      </c>
      <c r="J82" s="86" t="b">
        <v>1</v>
      </c>
      <c r="K82" s="23" t="s">
        <v>9</v>
      </c>
      <c r="L82" s="22" t="s">
        <v>501</v>
      </c>
    </row>
    <row r="83" spans="1:12" ht="25.5" customHeight="1" x14ac:dyDescent="0.25">
      <c r="A83" s="180"/>
      <c r="B83" s="180"/>
      <c r="C83" s="244"/>
      <c r="D83" s="209"/>
      <c r="E83" s="206"/>
      <c r="F83" s="184"/>
      <c r="G83" s="180"/>
      <c r="H83" s="10" t="s">
        <v>222</v>
      </c>
      <c r="I83" s="16">
        <v>3</v>
      </c>
      <c r="J83" s="82" t="b">
        <v>0</v>
      </c>
      <c r="K83" s="16"/>
      <c r="L83" s="20"/>
    </row>
    <row r="84" spans="1:12" ht="64.5" customHeight="1" x14ac:dyDescent="0.25">
      <c r="A84" s="177" t="s">
        <v>223</v>
      </c>
      <c r="B84" s="177" t="s">
        <v>224</v>
      </c>
      <c r="C84" s="190">
        <v>7</v>
      </c>
      <c r="D84" s="199" t="s">
        <v>225</v>
      </c>
      <c r="E84" s="187" t="s">
        <v>226</v>
      </c>
      <c r="F84" s="181" t="s">
        <v>175</v>
      </c>
      <c r="G84" s="177"/>
      <c r="H84" s="4" t="s">
        <v>227</v>
      </c>
      <c r="I84" s="5">
        <v>3</v>
      </c>
      <c r="J84" s="74" t="b">
        <v>0</v>
      </c>
      <c r="K84" s="17"/>
      <c r="L84" s="4"/>
    </row>
    <row r="85" spans="1:12" ht="124.5" customHeight="1" x14ac:dyDescent="0.25">
      <c r="A85" s="178"/>
      <c r="B85" s="178"/>
      <c r="C85" s="191"/>
      <c r="D85" s="200"/>
      <c r="E85" s="188"/>
      <c r="F85" s="183"/>
      <c r="G85" s="178"/>
      <c r="H85" s="7" t="s">
        <v>228</v>
      </c>
      <c r="I85" s="8">
        <v>1</v>
      </c>
      <c r="J85" s="75" t="b">
        <v>1</v>
      </c>
      <c r="K85" s="15" t="s">
        <v>476</v>
      </c>
      <c r="L85" s="7" t="s">
        <v>506</v>
      </c>
    </row>
    <row r="86" spans="1:12" ht="36.75" customHeight="1" x14ac:dyDescent="0.25">
      <c r="A86" s="177" t="s">
        <v>223</v>
      </c>
      <c r="B86" s="177" t="s">
        <v>224</v>
      </c>
      <c r="C86" s="190" t="s">
        <v>229</v>
      </c>
      <c r="D86" s="199" t="s">
        <v>230</v>
      </c>
      <c r="E86" s="187" t="s">
        <v>231</v>
      </c>
      <c r="F86" s="181" t="s">
        <v>175</v>
      </c>
      <c r="G86" s="177"/>
      <c r="H86" s="97" t="s">
        <v>232</v>
      </c>
      <c r="I86" s="5" t="s">
        <v>388</v>
      </c>
      <c r="J86" s="80" t="b">
        <v>0</v>
      </c>
      <c r="K86" s="17"/>
      <c r="L86" s="4"/>
    </row>
    <row r="87" spans="1:12" ht="51" x14ac:dyDescent="0.25">
      <c r="A87" s="178"/>
      <c r="B87" s="178"/>
      <c r="C87" s="191"/>
      <c r="D87" s="211"/>
      <c r="E87" s="212"/>
      <c r="F87" s="182"/>
      <c r="G87" s="178"/>
      <c r="H87" s="41" t="s">
        <v>233</v>
      </c>
      <c r="I87" s="42">
        <v>0</v>
      </c>
      <c r="J87" s="87" t="b">
        <v>0</v>
      </c>
      <c r="K87" s="43"/>
      <c r="L87" s="41"/>
    </row>
    <row r="88" spans="1:12" ht="36.75" customHeight="1" x14ac:dyDescent="0.25">
      <c r="A88" s="178"/>
      <c r="B88" s="178"/>
      <c r="C88" s="191"/>
      <c r="D88" s="200"/>
      <c r="E88" s="188"/>
      <c r="F88" s="183"/>
      <c r="G88" s="178"/>
      <c r="H88" s="7" t="s">
        <v>234</v>
      </c>
      <c r="I88" s="8">
        <v>1</v>
      </c>
      <c r="J88" s="77" t="b">
        <v>0</v>
      </c>
      <c r="K88" s="15"/>
      <c r="L88" s="7"/>
    </row>
    <row r="89" spans="1:12" ht="97.5" customHeight="1" x14ac:dyDescent="0.25">
      <c r="A89" s="178"/>
      <c r="B89" s="178"/>
      <c r="C89" s="191"/>
      <c r="D89" s="200"/>
      <c r="E89" s="188"/>
      <c r="F89" s="183"/>
      <c r="G89" s="178"/>
      <c r="H89" s="7" t="s">
        <v>235</v>
      </c>
      <c r="I89" s="8">
        <v>2</v>
      </c>
      <c r="J89" s="77" t="b">
        <v>1</v>
      </c>
      <c r="K89" s="15" t="s">
        <v>502</v>
      </c>
      <c r="L89" s="7" t="s">
        <v>503</v>
      </c>
    </row>
    <row r="90" spans="1:12" ht="40.5" customHeight="1" x14ac:dyDescent="0.25">
      <c r="A90" s="179"/>
      <c r="B90" s="179"/>
      <c r="C90" s="192"/>
      <c r="D90" s="201"/>
      <c r="E90" s="189"/>
      <c r="F90" s="184"/>
      <c r="G90" s="179"/>
      <c r="H90" s="98" t="s">
        <v>236</v>
      </c>
      <c r="I90" s="11">
        <v>3</v>
      </c>
      <c r="J90" s="76" t="b">
        <v>0</v>
      </c>
      <c r="K90" s="18"/>
      <c r="L90" s="10"/>
    </row>
    <row r="91" spans="1:12" ht="50.25" customHeight="1" x14ac:dyDescent="0.25">
      <c r="A91" s="25" t="s">
        <v>223</v>
      </c>
      <c r="B91" s="25" t="s">
        <v>224</v>
      </c>
      <c r="C91" s="47" t="s">
        <v>237</v>
      </c>
      <c r="D91" s="66" t="s">
        <v>238</v>
      </c>
      <c r="E91" s="26" t="s">
        <v>239</v>
      </c>
      <c r="F91" s="25" t="s">
        <v>240</v>
      </c>
      <c r="G91" s="26"/>
      <c r="H91" s="26" t="s">
        <v>390</v>
      </c>
      <c r="I91" s="48" t="s">
        <v>104</v>
      </c>
      <c r="J91" s="88" t="s">
        <v>504</v>
      </c>
      <c r="K91" s="25" t="s">
        <v>9</v>
      </c>
      <c r="L91" s="26" t="s">
        <v>518</v>
      </c>
    </row>
    <row r="92" spans="1:12" ht="25.5" x14ac:dyDescent="0.25">
      <c r="A92" s="177" t="s">
        <v>223</v>
      </c>
      <c r="B92" s="177" t="s">
        <v>224</v>
      </c>
      <c r="C92" s="190">
        <v>9</v>
      </c>
      <c r="D92" s="199" t="s">
        <v>241</v>
      </c>
      <c r="E92" s="187" t="s">
        <v>242</v>
      </c>
      <c r="F92" s="181" t="s">
        <v>175</v>
      </c>
      <c r="G92" s="177"/>
      <c r="H92" s="4" t="s">
        <v>243</v>
      </c>
      <c r="I92" s="5">
        <v>0</v>
      </c>
      <c r="J92" s="74" t="b">
        <v>0</v>
      </c>
      <c r="K92" s="17"/>
      <c r="L92" s="4"/>
    </row>
    <row r="93" spans="1:12" ht="102" x14ac:dyDescent="0.25">
      <c r="A93" s="178"/>
      <c r="B93" s="178"/>
      <c r="C93" s="191"/>
      <c r="D93" s="200"/>
      <c r="E93" s="188"/>
      <c r="F93" s="183"/>
      <c r="G93" s="178"/>
      <c r="H93" s="7" t="s">
        <v>244</v>
      </c>
      <c r="I93" s="8">
        <v>1</v>
      </c>
      <c r="J93" s="75" t="b">
        <v>1</v>
      </c>
      <c r="K93" s="15" t="s">
        <v>505</v>
      </c>
      <c r="L93" s="7" t="s">
        <v>507</v>
      </c>
    </row>
    <row r="94" spans="1:12" ht="25.5" x14ac:dyDescent="0.25">
      <c r="A94" s="178"/>
      <c r="B94" s="178"/>
      <c r="C94" s="191"/>
      <c r="D94" s="200"/>
      <c r="E94" s="188"/>
      <c r="F94" s="183"/>
      <c r="G94" s="178"/>
      <c r="H94" s="7" t="s">
        <v>245</v>
      </c>
      <c r="I94" s="8">
        <v>2</v>
      </c>
      <c r="J94" s="75" t="b">
        <v>0</v>
      </c>
      <c r="K94" s="15"/>
      <c r="L94" s="7"/>
    </row>
    <row r="95" spans="1:12" ht="25.5" x14ac:dyDescent="0.25">
      <c r="A95" s="179"/>
      <c r="B95" s="179"/>
      <c r="C95" s="192"/>
      <c r="D95" s="201"/>
      <c r="E95" s="189"/>
      <c r="F95" s="184"/>
      <c r="G95" s="179"/>
      <c r="H95" s="10" t="s">
        <v>246</v>
      </c>
      <c r="I95" s="11">
        <v>3</v>
      </c>
      <c r="J95" s="76" t="b">
        <v>0</v>
      </c>
      <c r="K95" s="18"/>
      <c r="L95" s="10"/>
    </row>
    <row r="96" spans="1:12" ht="57.75" customHeight="1" x14ac:dyDescent="0.25">
      <c r="A96" s="177" t="s">
        <v>223</v>
      </c>
      <c r="B96" s="177" t="s">
        <v>247</v>
      </c>
      <c r="C96" s="190" t="s">
        <v>248</v>
      </c>
      <c r="D96" s="199" t="s">
        <v>249</v>
      </c>
      <c r="E96" s="187" t="s">
        <v>250</v>
      </c>
      <c r="F96" s="181" t="s">
        <v>175</v>
      </c>
      <c r="G96" s="177" t="s">
        <v>251</v>
      </c>
      <c r="H96" s="46" t="s">
        <v>252</v>
      </c>
      <c r="I96" s="49" t="s">
        <v>388</v>
      </c>
      <c r="J96" s="74" t="b">
        <v>0</v>
      </c>
      <c r="K96" s="17"/>
      <c r="L96" s="4"/>
    </row>
    <row r="97" spans="1:12" ht="42" customHeight="1" x14ac:dyDescent="0.25">
      <c r="A97" s="178"/>
      <c r="B97" s="178"/>
      <c r="C97" s="191"/>
      <c r="D97" s="197"/>
      <c r="E97" s="194"/>
      <c r="F97" s="213"/>
      <c r="G97" s="178"/>
      <c r="H97" s="37" t="s">
        <v>253</v>
      </c>
      <c r="I97" s="35">
        <v>0</v>
      </c>
      <c r="J97" s="89" t="b">
        <v>0</v>
      </c>
      <c r="K97" s="32"/>
      <c r="L97" s="34"/>
    </row>
    <row r="98" spans="1:12" ht="42" customHeight="1" x14ac:dyDescent="0.25">
      <c r="A98" s="178"/>
      <c r="B98" s="178"/>
      <c r="C98" s="191"/>
      <c r="D98" s="197"/>
      <c r="E98" s="194"/>
      <c r="F98" s="213"/>
      <c r="G98" s="178"/>
      <c r="H98" s="37" t="s">
        <v>254</v>
      </c>
      <c r="I98" s="35">
        <v>1</v>
      </c>
      <c r="J98" s="90" t="b">
        <v>0</v>
      </c>
      <c r="K98" s="40"/>
      <c r="L98" s="37"/>
    </row>
    <row r="99" spans="1:12" ht="137.25" customHeight="1" x14ac:dyDescent="0.25">
      <c r="A99" s="179"/>
      <c r="B99" s="179"/>
      <c r="C99" s="192"/>
      <c r="D99" s="201"/>
      <c r="E99" s="189"/>
      <c r="F99" s="184"/>
      <c r="G99" s="179"/>
      <c r="H99" s="24" t="s">
        <v>255</v>
      </c>
      <c r="I99" s="50">
        <v>3</v>
      </c>
      <c r="J99" s="91" t="b">
        <v>1</v>
      </c>
      <c r="K99" s="33" t="s">
        <v>9</v>
      </c>
      <c r="L99" s="24" t="s">
        <v>508</v>
      </c>
    </row>
    <row r="100" spans="1:12" ht="57.6" customHeight="1" x14ac:dyDescent="0.25">
      <c r="A100" s="177" t="s">
        <v>223</v>
      </c>
      <c r="B100" s="177" t="s">
        <v>247</v>
      </c>
      <c r="C100" s="190" t="s">
        <v>256</v>
      </c>
      <c r="D100" s="199" t="s">
        <v>257</v>
      </c>
      <c r="E100" s="187" t="s">
        <v>258</v>
      </c>
      <c r="F100" s="181" t="s">
        <v>175</v>
      </c>
      <c r="G100" s="177"/>
      <c r="H100" s="46" t="s">
        <v>252</v>
      </c>
      <c r="I100" s="49" t="s">
        <v>388</v>
      </c>
      <c r="J100" s="74" t="b">
        <v>0</v>
      </c>
      <c r="K100" s="17"/>
      <c r="L100" s="4"/>
    </row>
    <row r="101" spans="1:12" ht="42" customHeight="1" x14ac:dyDescent="0.25">
      <c r="A101" s="178"/>
      <c r="B101" s="178"/>
      <c r="C101" s="191"/>
      <c r="D101" s="197"/>
      <c r="E101" s="194"/>
      <c r="F101" s="213"/>
      <c r="G101" s="178"/>
      <c r="H101" s="37" t="s">
        <v>253</v>
      </c>
      <c r="I101" s="35">
        <v>0</v>
      </c>
      <c r="J101" s="89" t="b">
        <v>0</v>
      </c>
      <c r="K101" s="32"/>
      <c r="L101" s="34"/>
    </row>
    <row r="102" spans="1:12" ht="42" customHeight="1" x14ac:dyDescent="0.25">
      <c r="A102" s="178"/>
      <c r="B102" s="178"/>
      <c r="C102" s="191"/>
      <c r="D102" s="197"/>
      <c r="E102" s="194"/>
      <c r="F102" s="213"/>
      <c r="G102" s="178"/>
      <c r="H102" s="37" t="s">
        <v>259</v>
      </c>
      <c r="I102" s="35">
        <v>1</v>
      </c>
      <c r="J102" s="90" t="b">
        <v>0</v>
      </c>
      <c r="K102" s="40"/>
      <c r="L102" s="37"/>
    </row>
    <row r="103" spans="1:12" ht="74.25" customHeight="1" x14ac:dyDescent="0.25">
      <c r="A103" s="179"/>
      <c r="B103" s="179"/>
      <c r="C103" s="192"/>
      <c r="D103" s="201"/>
      <c r="E103" s="189"/>
      <c r="F103" s="184"/>
      <c r="G103" s="179"/>
      <c r="H103" s="24" t="s">
        <v>255</v>
      </c>
      <c r="I103" s="50">
        <v>3</v>
      </c>
      <c r="J103" s="91" t="b">
        <v>1</v>
      </c>
      <c r="K103" s="33" t="s">
        <v>502</v>
      </c>
      <c r="L103" s="24" t="s">
        <v>509</v>
      </c>
    </row>
    <row r="104" spans="1:12" ht="27" customHeight="1" x14ac:dyDescent="0.25">
      <c r="A104" s="177" t="s">
        <v>223</v>
      </c>
      <c r="B104" s="177" t="s">
        <v>247</v>
      </c>
      <c r="C104" s="190" t="s">
        <v>260</v>
      </c>
      <c r="D104" s="199" t="s">
        <v>261</v>
      </c>
      <c r="E104" s="187" t="s">
        <v>262</v>
      </c>
      <c r="F104" s="181" t="s">
        <v>94</v>
      </c>
      <c r="G104" s="177"/>
      <c r="H104" s="100" t="s">
        <v>397</v>
      </c>
      <c r="I104" s="49" t="s">
        <v>104</v>
      </c>
      <c r="J104" s="80" t="b">
        <v>0</v>
      </c>
      <c r="K104" s="17"/>
      <c r="L104" s="4"/>
    </row>
    <row r="105" spans="1:12" ht="27" customHeight="1" x14ac:dyDescent="0.25">
      <c r="A105" s="178"/>
      <c r="B105" s="178"/>
      <c r="C105" s="191"/>
      <c r="D105" s="211"/>
      <c r="E105" s="212"/>
      <c r="F105" s="232"/>
      <c r="G105" s="178"/>
      <c r="H105" s="37" t="s">
        <v>264</v>
      </c>
      <c r="I105" s="35" t="s">
        <v>104</v>
      </c>
      <c r="J105" s="93" t="b">
        <v>0</v>
      </c>
      <c r="K105" s="43"/>
      <c r="L105" s="41"/>
    </row>
    <row r="106" spans="1:12" ht="39.75" customHeight="1" x14ac:dyDescent="0.25">
      <c r="A106" s="179"/>
      <c r="B106" s="179"/>
      <c r="C106" s="192"/>
      <c r="D106" s="201"/>
      <c r="E106" s="189"/>
      <c r="F106" s="184"/>
      <c r="G106" s="179"/>
      <c r="H106" s="98" t="s">
        <v>265</v>
      </c>
      <c r="I106" s="11" t="s">
        <v>104</v>
      </c>
      <c r="J106" s="76" t="b">
        <v>1</v>
      </c>
      <c r="K106" s="18" t="s">
        <v>9</v>
      </c>
      <c r="L106" s="10" t="s">
        <v>510</v>
      </c>
    </row>
    <row r="107" spans="1:12" ht="27" hidden="1" customHeight="1" x14ac:dyDescent="0.25">
      <c r="A107" s="217" t="s">
        <v>223</v>
      </c>
      <c r="B107" s="217" t="s">
        <v>247</v>
      </c>
      <c r="C107" s="214" t="s">
        <v>266</v>
      </c>
      <c r="D107" s="220" t="s">
        <v>267</v>
      </c>
      <c r="E107" s="223" t="s">
        <v>268</v>
      </c>
      <c r="F107" s="226" t="s">
        <v>164</v>
      </c>
      <c r="G107" s="249"/>
      <c r="H107" s="34" t="s">
        <v>269</v>
      </c>
      <c r="I107" s="31" t="s">
        <v>104</v>
      </c>
      <c r="J107" s="94" t="b">
        <v>0</v>
      </c>
      <c r="K107" s="32"/>
      <c r="L107" s="34"/>
    </row>
    <row r="108" spans="1:12" ht="27" hidden="1" customHeight="1" x14ac:dyDescent="0.25">
      <c r="A108" s="218"/>
      <c r="B108" s="218"/>
      <c r="C108" s="215"/>
      <c r="D108" s="221"/>
      <c r="E108" s="224"/>
      <c r="F108" s="227"/>
      <c r="G108" s="250"/>
      <c r="H108" s="51" t="s">
        <v>429</v>
      </c>
      <c r="I108" s="40" t="s">
        <v>104</v>
      </c>
      <c r="J108" s="90" t="b">
        <v>0</v>
      </c>
      <c r="K108" s="37"/>
      <c r="L108" s="37"/>
    </row>
    <row r="109" spans="1:12" ht="27" hidden="1" customHeight="1" x14ac:dyDescent="0.25">
      <c r="A109" s="218"/>
      <c r="B109" s="218"/>
      <c r="C109" s="215"/>
      <c r="D109" s="221"/>
      <c r="E109" s="224"/>
      <c r="F109" s="227"/>
      <c r="G109" s="250"/>
      <c r="H109" s="37" t="s">
        <v>270</v>
      </c>
      <c r="I109" s="35" t="s">
        <v>104</v>
      </c>
      <c r="J109" s="95" t="b">
        <v>0</v>
      </c>
      <c r="K109" s="40"/>
      <c r="L109" s="37"/>
    </row>
    <row r="110" spans="1:12" ht="27" hidden="1" customHeight="1" x14ac:dyDescent="0.25">
      <c r="A110" s="218"/>
      <c r="B110" s="218"/>
      <c r="C110" s="215"/>
      <c r="D110" s="221"/>
      <c r="E110" s="224"/>
      <c r="F110" s="227"/>
      <c r="G110" s="250"/>
      <c r="H110" s="37" t="s">
        <v>271</v>
      </c>
      <c r="I110" s="35" t="s">
        <v>104</v>
      </c>
      <c r="J110" s="95" t="b">
        <v>0</v>
      </c>
      <c r="K110" s="40"/>
      <c r="L110" s="37"/>
    </row>
    <row r="111" spans="1:12" ht="27" hidden="1" customHeight="1" x14ac:dyDescent="0.25">
      <c r="A111" s="218"/>
      <c r="B111" s="218"/>
      <c r="C111" s="215"/>
      <c r="D111" s="221"/>
      <c r="E111" s="224"/>
      <c r="F111" s="227"/>
      <c r="G111" s="250"/>
      <c r="H111" s="37" t="s">
        <v>272</v>
      </c>
      <c r="I111" s="35" t="s">
        <v>104</v>
      </c>
      <c r="J111" s="95" t="b">
        <v>0</v>
      </c>
      <c r="K111" s="40"/>
      <c r="L111" s="37"/>
    </row>
    <row r="112" spans="1:12" ht="27" hidden="1" customHeight="1" x14ac:dyDescent="0.25">
      <c r="A112" s="218"/>
      <c r="B112" s="218"/>
      <c r="C112" s="215"/>
      <c r="D112" s="221"/>
      <c r="E112" s="224"/>
      <c r="F112" s="227"/>
      <c r="G112" s="250"/>
      <c r="H112" s="37" t="s">
        <v>273</v>
      </c>
      <c r="I112" s="35" t="s">
        <v>104</v>
      </c>
      <c r="J112" s="95" t="b">
        <v>0</v>
      </c>
      <c r="K112" s="40"/>
      <c r="L112" s="37"/>
    </row>
    <row r="113" spans="1:12" ht="11.25" hidden="1" customHeight="1" x14ac:dyDescent="0.25">
      <c r="A113" s="219"/>
      <c r="B113" s="219"/>
      <c r="C113" s="216"/>
      <c r="D113" s="222"/>
      <c r="E113" s="225"/>
      <c r="F113" s="228"/>
      <c r="G113" s="251"/>
      <c r="H113" s="52" t="s">
        <v>391</v>
      </c>
      <c r="I113" s="50" t="s">
        <v>104</v>
      </c>
      <c r="J113" s="102"/>
      <c r="K113" s="44"/>
      <c r="L113" s="52"/>
    </row>
    <row r="114" spans="1:12" ht="48" customHeight="1" x14ac:dyDescent="0.25">
      <c r="A114" s="177" t="s">
        <v>274</v>
      </c>
      <c r="B114" s="177" t="s">
        <v>197</v>
      </c>
      <c r="C114" s="190" t="s">
        <v>275</v>
      </c>
      <c r="D114" s="199" t="s">
        <v>276</v>
      </c>
      <c r="E114" s="187" t="s">
        <v>277</v>
      </c>
      <c r="F114" s="181" t="s">
        <v>94</v>
      </c>
      <c r="G114" s="177" t="s">
        <v>278</v>
      </c>
      <c r="H114" s="53" t="s">
        <v>252</v>
      </c>
      <c r="I114" s="13" t="s">
        <v>388</v>
      </c>
      <c r="J114" s="74" t="b">
        <v>0</v>
      </c>
      <c r="K114" s="17"/>
      <c r="L114" s="4"/>
    </row>
    <row r="115" spans="1:12" ht="35.25" customHeight="1" x14ac:dyDescent="0.25">
      <c r="A115" s="178"/>
      <c r="B115" s="178"/>
      <c r="C115" s="191"/>
      <c r="D115" s="211"/>
      <c r="E115" s="212"/>
      <c r="F115" s="182"/>
      <c r="G115" s="178"/>
      <c r="H115" s="41" t="s">
        <v>279</v>
      </c>
      <c r="I115" s="42">
        <v>3</v>
      </c>
      <c r="J115" s="96" t="b">
        <v>0</v>
      </c>
      <c r="K115" s="43"/>
      <c r="L115" s="41"/>
    </row>
    <row r="116" spans="1:12" ht="35.25" customHeight="1" x14ac:dyDescent="0.25">
      <c r="A116" s="178"/>
      <c r="B116" s="178"/>
      <c r="C116" s="191"/>
      <c r="D116" s="200"/>
      <c r="E116" s="188"/>
      <c r="F116" s="183"/>
      <c r="G116" s="178"/>
      <c r="H116" s="7" t="s">
        <v>280</v>
      </c>
      <c r="I116" s="8">
        <v>2</v>
      </c>
      <c r="J116" s="75" t="b">
        <v>0</v>
      </c>
      <c r="K116" s="15"/>
      <c r="L116" s="7"/>
    </row>
    <row r="117" spans="1:12" ht="35.25" customHeight="1" x14ac:dyDescent="0.25">
      <c r="A117" s="178"/>
      <c r="B117" s="178"/>
      <c r="C117" s="191"/>
      <c r="D117" s="200"/>
      <c r="E117" s="188"/>
      <c r="F117" s="183"/>
      <c r="G117" s="178"/>
      <c r="H117" s="7" t="s">
        <v>281</v>
      </c>
      <c r="I117" s="8">
        <v>1</v>
      </c>
      <c r="J117" s="75" t="b">
        <v>0</v>
      </c>
      <c r="K117" s="15"/>
      <c r="L117" s="7"/>
    </row>
    <row r="118" spans="1:12" ht="59.45" customHeight="1" x14ac:dyDescent="0.25">
      <c r="A118" s="179"/>
      <c r="B118" s="179"/>
      <c r="C118" s="192"/>
      <c r="D118" s="201"/>
      <c r="E118" s="189"/>
      <c r="F118" s="184"/>
      <c r="G118" s="179"/>
      <c r="H118" s="10" t="s">
        <v>282</v>
      </c>
      <c r="I118" s="11">
        <v>0</v>
      </c>
      <c r="J118" s="76" t="b">
        <v>1</v>
      </c>
      <c r="K118" s="18" t="s">
        <v>480</v>
      </c>
      <c r="L118" s="10" t="s">
        <v>511</v>
      </c>
    </row>
    <row r="119" spans="1:12" ht="48" customHeight="1" x14ac:dyDescent="0.25">
      <c r="A119" s="177" t="s">
        <v>274</v>
      </c>
      <c r="B119" s="177" t="s">
        <v>197</v>
      </c>
      <c r="C119" s="190" t="s">
        <v>283</v>
      </c>
      <c r="D119" s="199" t="s">
        <v>284</v>
      </c>
      <c r="E119" s="187" t="s">
        <v>285</v>
      </c>
      <c r="F119" s="181" t="s">
        <v>94</v>
      </c>
      <c r="G119" s="177" t="s">
        <v>278</v>
      </c>
      <c r="H119" s="53" t="s">
        <v>252</v>
      </c>
      <c r="I119" s="13" t="s">
        <v>388</v>
      </c>
      <c r="J119" s="74" t="b">
        <v>1</v>
      </c>
      <c r="K119" s="17" t="s">
        <v>9</v>
      </c>
      <c r="L119" s="4" t="s">
        <v>512</v>
      </c>
    </row>
    <row r="120" spans="1:12" ht="35.25" customHeight="1" x14ac:dyDescent="0.25">
      <c r="A120" s="178"/>
      <c r="B120" s="178"/>
      <c r="C120" s="191"/>
      <c r="D120" s="211"/>
      <c r="E120" s="212"/>
      <c r="F120" s="182"/>
      <c r="G120" s="178"/>
      <c r="H120" s="41" t="s">
        <v>279</v>
      </c>
      <c r="I120" s="42">
        <v>3</v>
      </c>
      <c r="J120" s="96" t="b">
        <v>0</v>
      </c>
      <c r="K120" s="43"/>
      <c r="L120" s="41"/>
    </row>
    <row r="121" spans="1:12" ht="35.25" customHeight="1" x14ac:dyDescent="0.25">
      <c r="A121" s="178"/>
      <c r="B121" s="178"/>
      <c r="C121" s="191"/>
      <c r="D121" s="200"/>
      <c r="E121" s="188"/>
      <c r="F121" s="183"/>
      <c r="G121" s="178"/>
      <c r="H121" s="7" t="s">
        <v>280</v>
      </c>
      <c r="I121" s="8">
        <v>2</v>
      </c>
      <c r="J121" s="75" t="b">
        <v>0</v>
      </c>
      <c r="K121" s="15"/>
      <c r="L121" s="7"/>
    </row>
    <row r="122" spans="1:12" ht="35.25" customHeight="1" x14ac:dyDescent="0.25">
      <c r="A122" s="178"/>
      <c r="B122" s="178"/>
      <c r="C122" s="191"/>
      <c r="D122" s="200"/>
      <c r="E122" s="188"/>
      <c r="F122" s="183"/>
      <c r="G122" s="178"/>
      <c r="H122" s="7" t="s">
        <v>281</v>
      </c>
      <c r="I122" s="8">
        <v>1</v>
      </c>
      <c r="J122" s="75" t="b">
        <v>0</v>
      </c>
      <c r="K122" s="15"/>
      <c r="L122" s="7"/>
    </row>
    <row r="123" spans="1:12" ht="59.45" customHeight="1" x14ac:dyDescent="0.25">
      <c r="A123" s="179"/>
      <c r="B123" s="179"/>
      <c r="C123" s="192"/>
      <c r="D123" s="201"/>
      <c r="E123" s="189"/>
      <c r="F123" s="184"/>
      <c r="G123" s="179"/>
      <c r="H123" s="10" t="s">
        <v>282</v>
      </c>
      <c r="I123" s="11">
        <v>0</v>
      </c>
      <c r="J123" s="76" t="b">
        <v>0</v>
      </c>
      <c r="K123" s="18"/>
      <c r="L123" s="10"/>
    </row>
    <row r="124" spans="1:12" ht="35.25" customHeight="1" x14ac:dyDescent="0.25">
      <c r="A124" s="177" t="s">
        <v>274</v>
      </c>
      <c r="B124" s="177" t="s">
        <v>197</v>
      </c>
      <c r="C124" s="190" t="s">
        <v>286</v>
      </c>
      <c r="D124" s="199" t="s">
        <v>287</v>
      </c>
      <c r="E124" s="187" t="s">
        <v>288</v>
      </c>
      <c r="F124" s="181" t="s">
        <v>94</v>
      </c>
      <c r="G124" s="177" t="s">
        <v>289</v>
      </c>
      <c r="H124" s="53" t="s">
        <v>252</v>
      </c>
      <c r="I124" s="13" t="s">
        <v>388</v>
      </c>
      <c r="J124" s="74" t="b">
        <v>0</v>
      </c>
      <c r="K124" s="17"/>
      <c r="L124" s="4"/>
    </row>
    <row r="125" spans="1:12" ht="35.25" customHeight="1" x14ac:dyDescent="0.25">
      <c r="A125" s="178"/>
      <c r="B125" s="178"/>
      <c r="C125" s="191"/>
      <c r="D125" s="211"/>
      <c r="E125" s="212"/>
      <c r="F125" s="182"/>
      <c r="G125" s="178"/>
      <c r="H125" s="41" t="s">
        <v>290</v>
      </c>
      <c r="I125" s="42">
        <v>3</v>
      </c>
      <c r="J125" s="96" t="b">
        <v>0</v>
      </c>
      <c r="K125" s="43"/>
      <c r="L125" s="41"/>
    </row>
    <row r="126" spans="1:12" ht="42" customHeight="1" x14ac:dyDescent="0.25">
      <c r="A126" s="178"/>
      <c r="B126" s="178"/>
      <c r="C126" s="191"/>
      <c r="D126" s="200"/>
      <c r="E126" s="188"/>
      <c r="F126" s="183"/>
      <c r="G126" s="178"/>
      <c r="H126" s="7" t="s">
        <v>291</v>
      </c>
      <c r="I126" s="8">
        <v>2</v>
      </c>
      <c r="J126" s="75" t="b">
        <v>1</v>
      </c>
      <c r="K126" s="15" t="s">
        <v>480</v>
      </c>
      <c r="L126" s="7" t="s">
        <v>513</v>
      </c>
    </row>
    <row r="127" spans="1:12" ht="35.25" customHeight="1" x14ac:dyDescent="0.25">
      <c r="A127" s="178"/>
      <c r="B127" s="178"/>
      <c r="C127" s="191"/>
      <c r="D127" s="200"/>
      <c r="E127" s="188"/>
      <c r="F127" s="183"/>
      <c r="G127" s="178"/>
      <c r="H127" s="7" t="s">
        <v>292</v>
      </c>
      <c r="I127" s="8">
        <v>1</v>
      </c>
      <c r="J127" s="75" t="b">
        <v>0</v>
      </c>
      <c r="K127" s="15"/>
      <c r="L127" s="7"/>
    </row>
    <row r="128" spans="1:12" ht="59.45" customHeight="1" x14ac:dyDescent="0.25">
      <c r="A128" s="179"/>
      <c r="B128" s="179"/>
      <c r="C128" s="192"/>
      <c r="D128" s="201"/>
      <c r="E128" s="189"/>
      <c r="F128" s="184"/>
      <c r="G128" s="179"/>
      <c r="H128" s="10" t="s">
        <v>293</v>
      </c>
      <c r="I128" s="11">
        <v>0</v>
      </c>
      <c r="J128" s="76" t="b">
        <v>0</v>
      </c>
      <c r="K128" s="18"/>
      <c r="L128" s="10"/>
    </row>
    <row r="129" spans="1:12" ht="35.25" customHeight="1" x14ac:dyDescent="0.25">
      <c r="A129" s="177" t="s">
        <v>274</v>
      </c>
      <c r="B129" s="177" t="s">
        <v>197</v>
      </c>
      <c r="C129" s="190" t="s">
        <v>294</v>
      </c>
      <c r="D129" s="199" t="s">
        <v>295</v>
      </c>
      <c r="E129" s="187" t="s">
        <v>296</v>
      </c>
      <c r="F129" s="181" t="s">
        <v>94</v>
      </c>
      <c r="G129" s="177" t="s">
        <v>278</v>
      </c>
      <c r="H129" s="4" t="s">
        <v>252</v>
      </c>
      <c r="I129" s="5" t="s">
        <v>388</v>
      </c>
      <c r="J129" s="74" t="b">
        <v>1</v>
      </c>
      <c r="K129" s="17" t="s">
        <v>9</v>
      </c>
      <c r="L129" s="4" t="s">
        <v>514</v>
      </c>
    </row>
    <row r="130" spans="1:12" ht="35.25" customHeight="1" x14ac:dyDescent="0.25">
      <c r="A130" s="178"/>
      <c r="B130" s="178"/>
      <c r="C130" s="191"/>
      <c r="D130" s="211"/>
      <c r="E130" s="212"/>
      <c r="F130" s="182"/>
      <c r="G130" s="178"/>
      <c r="H130" s="41" t="s">
        <v>297</v>
      </c>
      <c r="I130" s="42">
        <v>3</v>
      </c>
      <c r="J130" s="96" t="b">
        <v>0</v>
      </c>
      <c r="K130" s="43"/>
      <c r="L130" s="41"/>
    </row>
    <row r="131" spans="1:12" ht="35.25" customHeight="1" x14ac:dyDescent="0.25">
      <c r="A131" s="178"/>
      <c r="B131" s="178"/>
      <c r="C131" s="191"/>
      <c r="D131" s="200"/>
      <c r="E131" s="188"/>
      <c r="F131" s="183"/>
      <c r="G131" s="178"/>
      <c r="H131" s="7" t="s">
        <v>298</v>
      </c>
      <c r="I131" s="8">
        <v>2</v>
      </c>
      <c r="J131" s="75" t="b">
        <v>0</v>
      </c>
      <c r="K131" s="15"/>
      <c r="L131" s="7"/>
    </row>
    <row r="132" spans="1:12" ht="35.25" customHeight="1" x14ac:dyDescent="0.25">
      <c r="A132" s="178"/>
      <c r="B132" s="178"/>
      <c r="C132" s="191"/>
      <c r="D132" s="200"/>
      <c r="E132" s="188"/>
      <c r="F132" s="183"/>
      <c r="G132" s="178"/>
      <c r="H132" s="7" t="s">
        <v>299</v>
      </c>
      <c r="I132" s="8">
        <v>1</v>
      </c>
      <c r="J132" s="75" t="b">
        <v>0</v>
      </c>
      <c r="K132" s="15"/>
      <c r="L132" s="7"/>
    </row>
    <row r="133" spans="1:12" ht="59.45" customHeight="1" x14ac:dyDescent="0.25">
      <c r="A133" s="179"/>
      <c r="B133" s="179"/>
      <c r="C133" s="192"/>
      <c r="D133" s="201"/>
      <c r="E133" s="189"/>
      <c r="F133" s="184"/>
      <c r="G133" s="179"/>
      <c r="H133" s="10" t="s">
        <v>300</v>
      </c>
      <c r="I133" s="11">
        <v>0</v>
      </c>
      <c r="J133" s="76" t="b">
        <v>0</v>
      </c>
      <c r="K133" s="18"/>
      <c r="L133" s="10"/>
    </row>
    <row r="134" spans="1:12" ht="35.25" customHeight="1" x14ac:dyDescent="0.25">
      <c r="A134" s="177" t="s">
        <v>274</v>
      </c>
      <c r="B134" s="177" t="s">
        <v>197</v>
      </c>
      <c r="C134" s="190" t="s">
        <v>301</v>
      </c>
      <c r="D134" s="199" t="s">
        <v>302</v>
      </c>
      <c r="E134" s="187" t="s">
        <v>303</v>
      </c>
      <c r="F134" s="181" t="s">
        <v>94</v>
      </c>
      <c r="G134" s="177" t="s">
        <v>278</v>
      </c>
      <c r="H134" s="4" t="s">
        <v>252</v>
      </c>
      <c r="I134" s="5" t="s">
        <v>388</v>
      </c>
      <c r="J134" s="74" t="b">
        <v>0</v>
      </c>
      <c r="K134" s="17"/>
      <c r="L134" s="4"/>
    </row>
    <row r="135" spans="1:12" ht="84" customHeight="1" x14ac:dyDescent="0.25">
      <c r="A135" s="178"/>
      <c r="B135" s="178"/>
      <c r="C135" s="191"/>
      <c r="D135" s="211"/>
      <c r="E135" s="212"/>
      <c r="F135" s="182"/>
      <c r="G135" s="178"/>
      <c r="H135" s="41" t="s">
        <v>297</v>
      </c>
      <c r="I135" s="42">
        <v>3</v>
      </c>
      <c r="J135" s="96" t="b">
        <v>1</v>
      </c>
      <c r="K135" s="43" t="s">
        <v>480</v>
      </c>
      <c r="L135" s="41" t="s">
        <v>515</v>
      </c>
    </row>
    <row r="136" spans="1:12" ht="35.25" customHeight="1" x14ac:dyDescent="0.25">
      <c r="A136" s="178"/>
      <c r="B136" s="178"/>
      <c r="C136" s="191"/>
      <c r="D136" s="200"/>
      <c r="E136" s="188"/>
      <c r="F136" s="183"/>
      <c r="G136" s="178"/>
      <c r="H136" s="7" t="s">
        <v>298</v>
      </c>
      <c r="I136" s="8">
        <v>2</v>
      </c>
      <c r="J136" s="75" t="b">
        <v>0</v>
      </c>
      <c r="K136" s="15"/>
      <c r="L136" s="7"/>
    </row>
    <row r="137" spans="1:12" ht="35.25" customHeight="1" x14ac:dyDescent="0.25">
      <c r="A137" s="178"/>
      <c r="B137" s="178"/>
      <c r="C137" s="191"/>
      <c r="D137" s="200"/>
      <c r="E137" s="188"/>
      <c r="F137" s="183"/>
      <c r="G137" s="178"/>
      <c r="H137" s="7" t="s">
        <v>299</v>
      </c>
      <c r="I137" s="8">
        <v>1</v>
      </c>
      <c r="J137" s="75" t="b">
        <v>0</v>
      </c>
      <c r="K137" s="15"/>
      <c r="L137" s="7"/>
    </row>
    <row r="138" spans="1:12" ht="59.45" customHeight="1" x14ac:dyDescent="0.25">
      <c r="A138" s="179"/>
      <c r="B138" s="179"/>
      <c r="C138" s="192"/>
      <c r="D138" s="201"/>
      <c r="E138" s="189"/>
      <c r="F138" s="184"/>
      <c r="G138" s="179"/>
      <c r="H138" s="10" t="s">
        <v>300</v>
      </c>
      <c r="I138" s="11">
        <v>0</v>
      </c>
      <c r="J138" s="76" t="b">
        <v>0</v>
      </c>
      <c r="K138" s="18"/>
      <c r="L138" s="10"/>
    </row>
    <row r="139" spans="1:12" ht="57.75" customHeight="1" x14ac:dyDescent="0.25">
      <c r="A139" s="55" t="s">
        <v>274</v>
      </c>
      <c r="B139" s="55" t="s">
        <v>197</v>
      </c>
      <c r="C139" s="54" t="s">
        <v>304</v>
      </c>
      <c r="D139" s="67" t="s">
        <v>305</v>
      </c>
      <c r="E139" s="56" t="s">
        <v>306</v>
      </c>
      <c r="F139" s="55" t="s">
        <v>240</v>
      </c>
      <c r="G139" s="26"/>
      <c r="H139" s="56" t="s">
        <v>390</v>
      </c>
      <c r="I139" s="48" t="s">
        <v>104</v>
      </c>
      <c r="J139" s="88" t="s">
        <v>516</v>
      </c>
      <c r="K139" s="25" t="s">
        <v>480</v>
      </c>
      <c r="L139" s="26" t="s">
        <v>517</v>
      </c>
    </row>
    <row r="140" spans="1:12" ht="38.25" x14ac:dyDescent="0.25">
      <c r="A140" s="177" t="s">
        <v>274</v>
      </c>
      <c r="B140" s="177" t="s">
        <v>197</v>
      </c>
      <c r="C140" s="190" t="s">
        <v>307</v>
      </c>
      <c r="D140" s="199" t="s">
        <v>308</v>
      </c>
      <c r="E140" s="187" t="s">
        <v>309</v>
      </c>
      <c r="F140" s="181" t="s">
        <v>94</v>
      </c>
      <c r="G140" s="177" t="s">
        <v>141</v>
      </c>
      <c r="H140" s="4" t="s">
        <v>297</v>
      </c>
      <c r="I140" s="5">
        <v>3</v>
      </c>
      <c r="J140" s="74" t="b">
        <v>0</v>
      </c>
      <c r="K140" s="17"/>
      <c r="L140" s="4"/>
    </row>
    <row r="141" spans="1:12" ht="25.5" x14ac:dyDescent="0.25">
      <c r="A141" s="178"/>
      <c r="B141" s="178"/>
      <c r="C141" s="191"/>
      <c r="D141" s="200"/>
      <c r="E141" s="188"/>
      <c r="F141" s="183"/>
      <c r="G141" s="178"/>
      <c r="H141" s="7" t="s">
        <v>298</v>
      </c>
      <c r="I141" s="8">
        <v>2</v>
      </c>
      <c r="J141" s="75" t="b">
        <v>0</v>
      </c>
      <c r="K141" s="15"/>
      <c r="L141" s="7"/>
    </row>
    <row r="142" spans="1:12" ht="153" x14ac:dyDescent="0.25">
      <c r="A142" s="178"/>
      <c r="B142" s="178"/>
      <c r="C142" s="191"/>
      <c r="D142" s="200"/>
      <c r="E142" s="188"/>
      <c r="F142" s="183"/>
      <c r="G142" s="178"/>
      <c r="H142" s="7" t="s">
        <v>299</v>
      </c>
      <c r="I142" s="8">
        <v>1</v>
      </c>
      <c r="J142" s="75" t="b">
        <v>1</v>
      </c>
      <c r="K142" s="15" t="s">
        <v>480</v>
      </c>
      <c r="L142" s="7" t="s">
        <v>519</v>
      </c>
    </row>
    <row r="143" spans="1:12" ht="25.5" x14ac:dyDescent="0.25">
      <c r="A143" s="178"/>
      <c r="B143" s="178"/>
      <c r="C143" s="191"/>
      <c r="D143" s="200"/>
      <c r="E143" s="188"/>
      <c r="F143" s="183"/>
      <c r="G143" s="178"/>
      <c r="H143" s="7" t="s">
        <v>300</v>
      </c>
      <c r="I143" s="8">
        <v>0</v>
      </c>
      <c r="J143" s="77" t="b">
        <v>0</v>
      </c>
      <c r="K143" s="15"/>
      <c r="L143" s="7"/>
    </row>
    <row r="144" spans="1:12" ht="25.5" x14ac:dyDescent="0.25">
      <c r="A144" s="179"/>
      <c r="B144" s="179"/>
      <c r="C144" s="192"/>
      <c r="D144" s="201"/>
      <c r="E144" s="189"/>
      <c r="F144" s="184"/>
      <c r="G144" s="179"/>
      <c r="H144" s="10" t="s">
        <v>252</v>
      </c>
      <c r="I144" s="11" t="s">
        <v>388</v>
      </c>
      <c r="J144" s="76" t="b">
        <v>0</v>
      </c>
      <c r="K144" s="18"/>
      <c r="L144" s="10"/>
    </row>
    <row r="145" spans="1:12" ht="38.25" x14ac:dyDescent="0.25">
      <c r="A145" s="177" t="s">
        <v>274</v>
      </c>
      <c r="B145" s="177" t="s">
        <v>197</v>
      </c>
      <c r="C145" s="190" t="s">
        <v>310</v>
      </c>
      <c r="D145" s="199" t="s">
        <v>311</v>
      </c>
      <c r="E145" s="187" t="s">
        <v>312</v>
      </c>
      <c r="F145" s="181" t="s">
        <v>94</v>
      </c>
      <c r="G145" s="177"/>
      <c r="H145" s="4" t="s">
        <v>297</v>
      </c>
      <c r="I145" s="5">
        <v>3</v>
      </c>
      <c r="J145" s="80" t="b">
        <v>0</v>
      </c>
      <c r="K145" s="17"/>
      <c r="L145" s="4"/>
    </row>
    <row r="146" spans="1:12" ht="25.5" x14ac:dyDescent="0.25">
      <c r="A146" s="178"/>
      <c r="B146" s="178"/>
      <c r="C146" s="191"/>
      <c r="D146" s="200"/>
      <c r="E146" s="188"/>
      <c r="F146" s="183"/>
      <c r="G146" s="178"/>
      <c r="H146" s="7" t="s">
        <v>298</v>
      </c>
      <c r="I146" s="8">
        <v>2</v>
      </c>
      <c r="J146" s="77" t="b">
        <v>0</v>
      </c>
      <c r="K146" s="15"/>
      <c r="L146" s="7"/>
    </row>
    <row r="147" spans="1:12" ht="127.5" x14ac:dyDescent="0.25">
      <c r="A147" s="178"/>
      <c r="B147" s="178"/>
      <c r="C147" s="191"/>
      <c r="D147" s="200"/>
      <c r="E147" s="188"/>
      <c r="F147" s="183"/>
      <c r="G147" s="178"/>
      <c r="H147" s="7" t="s">
        <v>299</v>
      </c>
      <c r="I147" s="8">
        <v>1</v>
      </c>
      <c r="J147" s="75" t="b">
        <v>1</v>
      </c>
      <c r="K147" s="15" t="s">
        <v>520</v>
      </c>
      <c r="L147" s="7" t="s">
        <v>521</v>
      </c>
    </row>
    <row r="148" spans="1:12" ht="25.5" x14ac:dyDescent="0.25">
      <c r="A148" s="178"/>
      <c r="B148" s="178"/>
      <c r="C148" s="191"/>
      <c r="D148" s="200"/>
      <c r="E148" s="188"/>
      <c r="F148" s="183"/>
      <c r="G148" s="178"/>
      <c r="H148" s="7" t="s">
        <v>300</v>
      </c>
      <c r="I148" s="8">
        <v>0</v>
      </c>
      <c r="J148" s="77" t="b">
        <v>0</v>
      </c>
      <c r="K148" s="15"/>
      <c r="L148" s="7"/>
    </row>
    <row r="149" spans="1:12" ht="25.5" x14ac:dyDescent="0.25">
      <c r="A149" s="179"/>
      <c r="B149" s="179"/>
      <c r="C149" s="192"/>
      <c r="D149" s="201"/>
      <c r="E149" s="189"/>
      <c r="F149" s="184"/>
      <c r="G149" s="179"/>
      <c r="H149" s="10" t="s">
        <v>252</v>
      </c>
      <c r="I149" s="11" t="s">
        <v>388</v>
      </c>
      <c r="J149" s="76" t="b">
        <v>0</v>
      </c>
      <c r="K149" s="18"/>
      <c r="L149" s="10"/>
    </row>
    <row r="150" spans="1:12" ht="38.25" x14ac:dyDescent="0.25">
      <c r="A150" s="177" t="s">
        <v>274</v>
      </c>
      <c r="B150" s="177" t="s">
        <v>197</v>
      </c>
      <c r="C150" s="190" t="s">
        <v>313</v>
      </c>
      <c r="D150" s="199" t="s">
        <v>314</v>
      </c>
      <c r="E150" s="187" t="s">
        <v>315</v>
      </c>
      <c r="F150" s="181" t="s">
        <v>94</v>
      </c>
      <c r="G150" s="177" t="s">
        <v>316</v>
      </c>
      <c r="H150" s="4" t="s">
        <v>297</v>
      </c>
      <c r="I150" s="5">
        <v>3</v>
      </c>
      <c r="J150" s="74" t="b">
        <v>0</v>
      </c>
      <c r="K150" s="17"/>
      <c r="L150" s="4"/>
    </row>
    <row r="151" spans="1:12" ht="51" x14ac:dyDescent="0.25">
      <c r="A151" s="178"/>
      <c r="B151" s="178"/>
      <c r="C151" s="191"/>
      <c r="D151" s="200"/>
      <c r="E151" s="188"/>
      <c r="F151" s="183"/>
      <c r="G151" s="178"/>
      <c r="H151" s="7" t="s">
        <v>298</v>
      </c>
      <c r="I151" s="8">
        <v>2</v>
      </c>
      <c r="J151" s="75" t="b">
        <v>1</v>
      </c>
      <c r="K151" s="15" t="s">
        <v>522</v>
      </c>
      <c r="L151" s="7" t="s">
        <v>523</v>
      </c>
    </row>
    <row r="152" spans="1:12" ht="25.5" x14ac:dyDescent="0.25">
      <c r="A152" s="178"/>
      <c r="B152" s="178"/>
      <c r="C152" s="191"/>
      <c r="D152" s="200"/>
      <c r="E152" s="188"/>
      <c r="F152" s="183"/>
      <c r="G152" s="178"/>
      <c r="H152" s="7" t="s">
        <v>299</v>
      </c>
      <c r="I152" s="8">
        <v>1</v>
      </c>
      <c r="J152" s="75" t="b">
        <v>0</v>
      </c>
      <c r="K152" s="15"/>
      <c r="L152" s="7"/>
    </row>
    <row r="153" spans="1:12" ht="25.5" x14ac:dyDescent="0.25">
      <c r="A153" s="178"/>
      <c r="B153" s="178"/>
      <c r="C153" s="191"/>
      <c r="D153" s="200"/>
      <c r="E153" s="188"/>
      <c r="F153" s="183"/>
      <c r="G153" s="178"/>
      <c r="H153" s="7" t="s">
        <v>300</v>
      </c>
      <c r="I153" s="8">
        <v>0</v>
      </c>
      <c r="J153" s="75" t="b">
        <v>0</v>
      </c>
      <c r="K153" s="15"/>
      <c r="L153" s="7"/>
    </row>
    <row r="154" spans="1:12" ht="25.5" x14ac:dyDescent="0.25">
      <c r="A154" s="179"/>
      <c r="B154" s="179"/>
      <c r="C154" s="192"/>
      <c r="D154" s="201"/>
      <c r="E154" s="189"/>
      <c r="F154" s="184"/>
      <c r="G154" s="179"/>
      <c r="H154" s="10" t="s">
        <v>252</v>
      </c>
      <c r="I154" s="11" t="s">
        <v>388</v>
      </c>
      <c r="J154" s="76" t="b">
        <v>0</v>
      </c>
      <c r="K154" s="18"/>
      <c r="L154" s="10"/>
    </row>
    <row r="155" spans="1:12" ht="55.5" customHeight="1" x14ac:dyDescent="0.25">
      <c r="A155" s="32" t="s">
        <v>274</v>
      </c>
      <c r="B155" s="32" t="s">
        <v>197</v>
      </c>
      <c r="C155" s="63" t="s">
        <v>317</v>
      </c>
      <c r="D155" s="65" t="s">
        <v>318</v>
      </c>
      <c r="E155" s="34" t="s">
        <v>319</v>
      </c>
      <c r="F155" s="32" t="s">
        <v>240</v>
      </c>
      <c r="G155" s="32"/>
      <c r="H155" s="34" t="s">
        <v>390</v>
      </c>
      <c r="I155" s="31" t="s">
        <v>104</v>
      </c>
      <c r="J155" s="92" t="s">
        <v>524</v>
      </c>
      <c r="K155" s="32" t="s">
        <v>525</v>
      </c>
      <c r="L155" s="34"/>
    </row>
    <row r="156" spans="1:12" ht="38.25" x14ac:dyDescent="0.25">
      <c r="A156" s="177" t="s">
        <v>274</v>
      </c>
      <c r="B156" s="177" t="s">
        <v>320</v>
      </c>
      <c r="C156" s="190" t="s">
        <v>321</v>
      </c>
      <c r="D156" s="199" t="s">
        <v>322</v>
      </c>
      <c r="E156" s="187" t="s">
        <v>323</v>
      </c>
      <c r="F156" s="181" t="s">
        <v>94</v>
      </c>
      <c r="G156" s="177" t="s">
        <v>324</v>
      </c>
      <c r="H156" s="97" t="s">
        <v>461</v>
      </c>
      <c r="I156" s="5">
        <v>3</v>
      </c>
      <c r="J156" s="74" t="b">
        <v>0</v>
      </c>
      <c r="K156" s="17"/>
      <c r="L156" s="4"/>
    </row>
    <row r="157" spans="1:12" ht="25.5" x14ac:dyDescent="0.25">
      <c r="A157" s="178"/>
      <c r="B157" s="178"/>
      <c r="C157" s="191"/>
      <c r="D157" s="200"/>
      <c r="E157" s="188"/>
      <c r="F157" s="183"/>
      <c r="G157" s="178"/>
      <c r="H157" s="99" t="s">
        <v>462</v>
      </c>
      <c r="I157" s="8">
        <v>2</v>
      </c>
      <c r="J157" s="77" t="b">
        <v>0</v>
      </c>
      <c r="K157" s="15"/>
      <c r="L157" s="7"/>
    </row>
    <row r="158" spans="1:12" ht="38.25" x14ac:dyDescent="0.25">
      <c r="A158" s="178"/>
      <c r="B158" s="178"/>
      <c r="C158" s="191"/>
      <c r="D158" s="200"/>
      <c r="E158" s="188"/>
      <c r="F158" s="183"/>
      <c r="G158" s="178"/>
      <c r="H158" s="99" t="s">
        <v>463</v>
      </c>
      <c r="I158" s="8">
        <v>1</v>
      </c>
      <c r="J158" s="75" t="b">
        <v>0</v>
      </c>
      <c r="K158" s="15"/>
      <c r="L158" s="7"/>
    </row>
    <row r="159" spans="1:12" ht="32.25" customHeight="1" x14ac:dyDescent="0.25">
      <c r="A159" s="178"/>
      <c r="B159" s="178"/>
      <c r="C159" s="191"/>
      <c r="D159" s="200"/>
      <c r="E159" s="188"/>
      <c r="F159" s="183"/>
      <c r="G159" s="178"/>
      <c r="H159" s="99" t="s">
        <v>401</v>
      </c>
      <c r="I159" s="8">
        <v>0</v>
      </c>
      <c r="J159" s="75" t="b">
        <v>0</v>
      </c>
      <c r="K159" s="15"/>
      <c r="L159" s="7"/>
    </row>
    <row r="160" spans="1:12" ht="75.75" customHeight="1" x14ac:dyDescent="0.25">
      <c r="A160" s="179"/>
      <c r="B160" s="179"/>
      <c r="C160" s="192"/>
      <c r="D160" s="201"/>
      <c r="E160" s="189"/>
      <c r="F160" s="184"/>
      <c r="G160" s="179"/>
      <c r="H160" s="98" t="s">
        <v>399</v>
      </c>
      <c r="I160" s="11" t="s">
        <v>388</v>
      </c>
      <c r="J160" s="76" t="b">
        <v>1</v>
      </c>
      <c r="K160" s="18" t="s">
        <v>505</v>
      </c>
      <c r="L160" s="10" t="s">
        <v>526</v>
      </c>
    </row>
    <row r="161" spans="1:12" ht="63.75" hidden="1" x14ac:dyDescent="0.25">
      <c r="A161" s="25" t="s">
        <v>274</v>
      </c>
      <c r="B161" s="25" t="s">
        <v>320</v>
      </c>
      <c r="C161" s="47" t="s">
        <v>325</v>
      </c>
      <c r="D161" s="66" t="s">
        <v>326</v>
      </c>
      <c r="E161" s="26" t="s">
        <v>327</v>
      </c>
      <c r="F161" s="25" t="s">
        <v>240</v>
      </c>
      <c r="G161" s="26"/>
      <c r="H161" s="26" t="s">
        <v>390</v>
      </c>
      <c r="I161" s="48" t="s">
        <v>104</v>
      </c>
      <c r="J161" s="88"/>
      <c r="K161" s="25"/>
      <c r="L161" s="26"/>
    </row>
    <row r="162" spans="1:12" ht="54" hidden="1" customHeight="1" x14ac:dyDescent="0.25">
      <c r="A162" s="25" t="s">
        <v>274</v>
      </c>
      <c r="B162" s="25" t="s">
        <v>320</v>
      </c>
      <c r="C162" s="47" t="s">
        <v>328</v>
      </c>
      <c r="D162" s="66" t="s">
        <v>329</v>
      </c>
      <c r="E162" s="26" t="s">
        <v>330</v>
      </c>
      <c r="F162" s="25" t="s">
        <v>240</v>
      </c>
      <c r="G162" s="26"/>
      <c r="H162" s="26" t="s">
        <v>390</v>
      </c>
      <c r="I162" s="48" t="s">
        <v>104</v>
      </c>
      <c r="J162" s="88"/>
      <c r="K162" s="25"/>
      <c r="L162" s="26"/>
    </row>
    <row r="163" spans="1:12" ht="153" hidden="1" x14ac:dyDescent="0.25">
      <c r="A163" s="25" t="s">
        <v>274</v>
      </c>
      <c r="B163" s="25" t="s">
        <v>320</v>
      </c>
      <c r="C163" s="47" t="s">
        <v>331</v>
      </c>
      <c r="D163" s="66" t="s">
        <v>332</v>
      </c>
      <c r="E163" s="26" t="s">
        <v>333</v>
      </c>
      <c r="F163" s="25" t="s">
        <v>240</v>
      </c>
      <c r="G163" s="26"/>
      <c r="H163" s="26" t="s">
        <v>390</v>
      </c>
      <c r="I163" s="48" t="s">
        <v>104</v>
      </c>
      <c r="J163" s="88"/>
      <c r="K163" s="25"/>
      <c r="L163" s="26"/>
    </row>
    <row r="164" spans="1:12" ht="76.5" x14ac:dyDescent="0.25">
      <c r="A164" s="177" t="s">
        <v>274</v>
      </c>
      <c r="B164" s="177" t="s">
        <v>320</v>
      </c>
      <c r="C164" s="190" t="s">
        <v>334</v>
      </c>
      <c r="D164" s="199" t="s">
        <v>335</v>
      </c>
      <c r="E164" s="187" t="s">
        <v>336</v>
      </c>
      <c r="F164" s="181" t="s">
        <v>94</v>
      </c>
      <c r="G164" s="175" t="s">
        <v>337</v>
      </c>
      <c r="H164" s="97" t="s">
        <v>402</v>
      </c>
      <c r="I164" s="5">
        <v>3</v>
      </c>
      <c r="J164" s="74" t="b">
        <v>1</v>
      </c>
      <c r="K164" s="17" t="s">
        <v>527</v>
      </c>
      <c r="L164" s="19" t="s">
        <v>528</v>
      </c>
    </row>
    <row r="165" spans="1:12" ht="38.25" x14ac:dyDescent="0.25">
      <c r="A165" s="178"/>
      <c r="B165" s="178"/>
      <c r="C165" s="191"/>
      <c r="D165" s="200"/>
      <c r="E165" s="188"/>
      <c r="F165" s="183"/>
      <c r="G165" s="176"/>
      <c r="H165" s="99" t="s">
        <v>403</v>
      </c>
      <c r="I165" s="8">
        <v>2</v>
      </c>
      <c r="J165" s="75" t="b">
        <v>0</v>
      </c>
      <c r="K165" s="15"/>
      <c r="L165" s="7"/>
    </row>
    <row r="166" spans="1:12" ht="38.25" x14ac:dyDescent="0.25">
      <c r="A166" s="178"/>
      <c r="B166" s="178"/>
      <c r="C166" s="191"/>
      <c r="D166" s="200"/>
      <c r="E166" s="188"/>
      <c r="F166" s="183"/>
      <c r="G166" s="176"/>
      <c r="H166" s="99" t="s">
        <v>405</v>
      </c>
      <c r="I166" s="8">
        <v>1</v>
      </c>
      <c r="J166" s="75" t="b">
        <v>0</v>
      </c>
      <c r="K166" s="15"/>
      <c r="L166" s="7"/>
    </row>
    <row r="167" spans="1:12" ht="25.5" x14ac:dyDescent="0.25">
      <c r="A167" s="178"/>
      <c r="B167" s="178"/>
      <c r="C167" s="191"/>
      <c r="D167" s="200"/>
      <c r="E167" s="188"/>
      <c r="F167" s="183"/>
      <c r="G167" s="176"/>
      <c r="H167" s="99" t="s">
        <v>404</v>
      </c>
      <c r="I167" s="8">
        <v>0</v>
      </c>
      <c r="J167" s="75" t="b">
        <v>0</v>
      </c>
      <c r="K167" s="15"/>
      <c r="L167" s="7"/>
    </row>
    <row r="168" spans="1:12" ht="30" customHeight="1" x14ac:dyDescent="0.25">
      <c r="A168" s="179"/>
      <c r="B168" s="179"/>
      <c r="C168" s="192"/>
      <c r="D168" s="201"/>
      <c r="E168" s="189"/>
      <c r="F168" s="184"/>
      <c r="G168" s="180"/>
      <c r="H168" s="98" t="s">
        <v>400</v>
      </c>
      <c r="I168" s="11" t="s">
        <v>388</v>
      </c>
      <c r="J168" s="79" t="b">
        <v>0</v>
      </c>
      <c r="K168" s="18"/>
      <c r="L168" s="10"/>
    </row>
    <row r="169" spans="1:12" ht="63.75" x14ac:dyDescent="0.25">
      <c r="A169" s="25" t="s">
        <v>274</v>
      </c>
      <c r="B169" s="25" t="s">
        <v>320</v>
      </c>
      <c r="C169" s="47" t="s">
        <v>338</v>
      </c>
      <c r="D169" s="66" t="s">
        <v>339</v>
      </c>
      <c r="E169" s="26" t="s">
        <v>327</v>
      </c>
      <c r="F169" s="25" t="s">
        <v>240</v>
      </c>
      <c r="G169" s="26"/>
      <c r="H169" s="26" t="s">
        <v>390</v>
      </c>
      <c r="I169" s="48" t="s">
        <v>104</v>
      </c>
      <c r="J169" s="88" t="s">
        <v>529</v>
      </c>
      <c r="K169" s="25" t="s">
        <v>530</v>
      </c>
      <c r="L169" s="26" t="s">
        <v>531</v>
      </c>
    </row>
    <row r="170" spans="1:12" ht="76.5" x14ac:dyDescent="0.25">
      <c r="A170" s="25" t="s">
        <v>274</v>
      </c>
      <c r="B170" s="25" t="s">
        <v>320</v>
      </c>
      <c r="C170" s="47" t="s">
        <v>340</v>
      </c>
      <c r="D170" s="66" t="s">
        <v>341</v>
      </c>
      <c r="E170" s="26" t="s">
        <v>330</v>
      </c>
      <c r="F170" s="25" t="s">
        <v>240</v>
      </c>
      <c r="G170" s="25" t="s">
        <v>342</v>
      </c>
      <c r="H170" s="26" t="s">
        <v>390</v>
      </c>
      <c r="I170" s="48" t="s">
        <v>104</v>
      </c>
      <c r="J170" s="88" t="s">
        <v>532</v>
      </c>
      <c r="K170" s="25" t="s">
        <v>530</v>
      </c>
      <c r="L170" s="26" t="s">
        <v>533</v>
      </c>
    </row>
    <row r="171" spans="1:12" ht="143.25" hidden="1" customHeight="1" x14ac:dyDescent="0.25">
      <c r="A171" s="25" t="s">
        <v>274</v>
      </c>
      <c r="B171" s="25" t="s">
        <v>320</v>
      </c>
      <c r="C171" s="47" t="s">
        <v>343</v>
      </c>
      <c r="D171" s="66" t="s">
        <v>344</v>
      </c>
      <c r="E171" s="26" t="s">
        <v>345</v>
      </c>
      <c r="F171" s="25" t="s">
        <v>240</v>
      </c>
      <c r="G171" s="26"/>
      <c r="H171" s="26" t="s">
        <v>390</v>
      </c>
      <c r="I171" s="48" t="s">
        <v>104</v>
      </c>
      <c r="J171" s="88"/>
      <c r="K171" s="25"/>
      <c r="L171" s="26"/>
    </row>
    <row r="172" spans="1:12" ht="24.75" customHeight="1" x14ac:dyDescent="0.25">
      <c r="A172" s="175" t="s">
        <v>274</v>
      </c>
      <c r="B172" s="175" t="s">
        <v>320</v>
      </c>
      <c r="C172" s="242">
        <v>16</v>
      </c>
      <c r="D172" s="207" t="s">
        <v>346</v>
      </c>
      <c r="E172" s="187" t="s">
        <v>347</v>
      </c>
      <c r="F172" s="229" t="s">
        <v>94</v>
      </c>
      <c r="G172" s="177" t="s">
        <v>348</v>
      </c>
      <c r="H172" s="19" t="s">
        <v>392</v>
      </c>
      <c r="I172" s="21">
        <v>3</v>
      </c>
      <c r="J172" s="84" t="b">
        <v>1</v>
      </c>
      <c r="K172" s="21" t="s">
        <v>348</v>
      </c>
      <c r="L172" s="4" t="s">
        <v>534</v>
      </c>
    </row>
    <row r="173" spans="1:12" ht="24.75" customHeight="1" x14ac:dyDescent="0.25">
      <c r="A173" s="176"/>
      <c r="B173" s="176"/>
      <c r="C173" s="243"/>
      <c r="D173" s="208"/>
      <c r="E173" s="188"/>
      <c r="F173" s="230"/>
      <c r="G173" s="178"/>
      <c r="H173" s="22" t="s">
        <v>349</v>
      </c>
      <c r="I173" s="23">
        <v>2</v>
      </c>
      <c r="J173" s="85" t="b">
        <v>0</v>
      </c>
      <c r="K173" s="23"/>
      <c r="L173" s="22"/>
    </row>
    <row r="174" spans="1:12" ht="24.75" customHeight="1" x14ac:dyDescent="0.25">
      <c r="A174" s="176"/>
      <c r="B174" s="176"/>
      <c r="C174" s="243"/>
      <c r="D174" s="208"/>
      <c r="E174" s="188"/>
      <c r="F174" s="230"/>
      <c r="G174" s="178"/>
      <c r="H174" s="22" t="s">
        <v>393</v>
      </c>
      <c r="I174" s="23">
        <v>1</v>
      </c>
      <c r="J174" s="85" t="b">
        <v>0</v>
      </c>
      <c r="K174" s="23"/>
      <c r="L174" s="22"/>
    </row>
    <row r="175" spans="1:12" ht="24.75" customHeight="1" x14ac:dyDescent="0.25">
      <c r="A175" s="180"/>
      <c r="B175" s="180"/>
      <c r="C175" s="244"/>
      <c r="D175" s="209"/>
      <c r="E175" s="189"/>
      <c r="F175" s="231"/>
      <c r="G175" s="179"/>
      <c r="H175" s="20" t="s">
        <v>350</v>
      </c>
      <c r="I175" s="11">
        <v>0</v>
      </c>
      <c r="J175" s="79" t="b">
        <v>0</v>
      </c>
      <c r="K175" s="16"/>
      <c r="L175" s="20"/>
    </row>
    <row r="176" spans="1:12" ht="24.75" customHeight="1" x14ac:dyDescent="0.25">
      <c r="A176" s="175" t="s">
        <v>274</v>
      </c>
      <c r="B176" s="175" t="s">
        <v>320</v>
      </c>
      <c r="C176" s="242">
        <v>17</v>
      </c>
      <c r="D176" s="207" t="s">
        <v>351</v>
      </c>
      <c r="E176" s="187" t="s">
        <v>352</v>
      </c>
      <c r="F176" s="229" t="s">
        <v>94</v>
      </c>
      <c r="G176" s="177" t="s">
        <v>348</v>
      </c>
      <c r="H176" s="19" t="s">
        <v>394</v>
      </c>
      <c r="I176" s="21">
        <v>3</v>
      </c>
      <c r="J176" s="84" t="b">
        <v>1</v>
      </c>
      <c r="K176" s="21" t="s">
        <v>348</v>
      </c>
      <c r="L176" s="4" t="s">
        <v>535</v>
      </c>
    </row>
    <row r="177" spans="1:12" ht="24.75" customHeight="1" x14ac:dyDescent="0.25">
      <c r="A177" s="176"/>
      <c r="B177" s="176"/>
      <c r="C177" s="243"/>
      <c r="D177" s="208"/>
      <c r="E177" s="188"/>
      <c r="F177" s="230"/>
      <c r="G177" s="178"/>
      <c r="H177" s="22" t="s">
        <v>353</v>
      </c>
      <c r="I177" s="23">
        <v>2</v>
      </c>
      <c r="J177" s="85" t="b">
        <v>0</v>
      </c>
      <c r="K177" s="23"/>
      <c r="L177" s="22"/>
    </row>
    <row r="178" spans="1:12" ht="24.75" customHeight="1" x14ac:dyDescent="0.25">
      <c r="A178" s="176"/>
      <c r="B178" s="176"/>
      <c r="C178" s="243"/>
      <c r="D178" s="208"/>
      <c r="E178" s="188"/>
      <c r="F178" s="230"/>
      <c r="G178" s="178"/>
      <c r="H178" s="22" t="s">
        <v>395</v>
      </c>
      <c r="I178" s="23">
        <v>1</v>
      </c>
      <c r="J178" s="85" t="b">
        <v>0</v>
      </c>
      <c r="K178" s="23"/>
      <c r="L178" s="22"/>
    </row>
    <row r="179" spans="1:12" ht="100.5" customHeight="1" x14ac:dyDescent="0.25">
      <c r="A179" s="180"/>
      <c r="B179" s="180"/>
      <c r="C179" s="244"/>
      <c r="D179" s="209"/>
      <c r="E179" s="189"/>
      <c r="F179" s="231"/>
      <c r="G179" s="179"/>
      <c r="H179" s="20" t="s">
        <v>350</v>
      </c>
      <c r="I179" s="11">
        <v>0</v>
      </c>
      <c r="J179" s="79" t="b">
        <v>0</v>
      </c>
      <c r="K179" s="16"/>
      <c r="L179" s="20"/>
    </row>
    <row r="180" spans="1:12" ht="38.25" x14ac:dyDescent="0.25">
      <c r="A180" s="175" t="s">
        <v>274</v>
      </c>
      <c r="B180" s="175" t="s">
        <v>320</v>
      </c>
      <c r="C180" s="242" t="s">
        <v>354</v>
      </c>
      <c r="D180" s="207" t="s">
        <v>355</v>
      </c>
      <c r="E180" s="205" t="s">
        <v>356</v>
      </c>
      <c r="F180" s="229" t="s">
        <v>94</v>
      </c>
      <c r="G180" s="177" t="s">
        <v>357</v>
      </c>
      <c r="H180" s="97" t="s">
        <v>358</v>
      </c>
      <c r="I180" s="21">
        <v>0</v>
      </c>
      <c r="J180" s="84" t="b">
        <v>0</v>
      </c>
      <c r="K180" s="21"/>
      <c r="L180" s="4"/>
    </row>
    <row r="181" spans="1:12" ht="76.5" x14ac:dyDescent="0.25">
      <c r="A181" s="176"/>
      <c r="B181" s="176"/>
      <c r="C181" s="243"/>
      <c r="D181" s="208"/>
      <c r="E181" s="210"/>
      <c r="F181" s="230"/>
      <c r="G181" s="178"/>
      <c r="H181" s="7" t="s">
        <v>359</v>
      </c>
      <c r="I181" s="23" t="s">
        <v>388</v>
      </c>
      <c r="J181" s="85" t="b">
        <v>1</v>
      </c>
      <c r="K181" s="23" t="s">
        <v>536</v>
      </c>
      <c r="L181" s="22" t="s">
        <v>538</v>
      </c>
    </row>
    <row r="182" spans="1:12" ht="25.5" x14ac:dyDescent="0.25">
      <c r="A182" s="180"/>
      <c r="B182" s="180"/>
      <c r="C182" s="244"/>
      <c r="D182" s="209"/>
      <c r="E182" s="206"/>
      <c r="F182" s="231"/>
      <c r="G182" s="179"/>
      <c r="H182" s="98" t="s">
        <v>360</v>
      </c>
      <c r="I182" s="16">
        <v>3</v>
      </c>
      <c r="J182" s="78" t="b">
        <v>0</v>
      </c>
      <c r="K182" s="16"/>
      <c r="L182" s="20"/>
    </row>
    <row r="183" spans="1:12" x14ac:dyDescent="0.25">
      <c r="A183" s="175" t="s">
        <v>274</v>
      </c>
      <c r="B183" s="175" t="s">
        <v>320</v>
      </c>
      <c r="C183" s="242" t="s">
        <v>361</v>
      </c>
      <c r="D183" s="207" t="s">
        <v>362</v>
      </c>
      <c r="E183" s="205" t="s">
        <v>363</v>
      </c>
      <c r="F183" s="229" t="s">
        <v>94</v>
      </c>
      <c r="G183" s="177" t="s">
        <v>357</v>
      </c>
      <c r="H183" s="4" t="s">
        <v>263</v>
      </c>
      <c r="I183" s="21">
        <v>1</v>
      </c>
      <c r="J183" s="84" t="b">
        <v>0</v>
      </c>
      <c r="K183" s="21"/>
      <c r="L183" s="4"/>
    </row>
    <row r="184" spans="1:12" ht="30" customHeight="1" x14ac:dyDescent="0.25">
      <c r="A184" s="176"/>
      <c r="B184" s="176"/>
      <c r="C184" s="243"/>
      <c r="D184" s="208"/>
      <c r="E184" s="210"/>
      <c r="F184" s="230"/>
      <c r="G184" s="178"/>
      <c r="H184" s="7" t="s">
        <v>364</v>
      </c>
      <c r="I184" s="23">
        <v>0</v>
      </c>
      <c r="J184" s="85" t="b">
        <v>0</v>
      </c>
      <c r="K184" s="23"/>
      <c r="L184" s="22"/>
    </row>
    <row r="185" spans="1:12" ht="144.75" customHeight="1" x14ac:dyDescent="0.25">
      <c r="A185" s="176"/>
      <c r="B185" s="176"/>
      <c r="C185" s="243"/>
      <c r="D185" s="208"/>
      <c r="E185" s="210"/>
      <c r="F185" s="230"/>
      <c r="G185" s="178"/>
      <c r="H185" s="7" t="s">
        <v>365</v>
      </c>
      <c r="I185" s="23">
        <v>2</v>
      </c>
      <c r="J185" s="85" t="b">
        <v>1</v>
      </c>
      <c r="K185" s="23" t="s">
        <v>537</v>
      </c>
      <c r="L185" s="20" t="s">
        <v>539</v>
      </c>
    </row>
    <row r="186" spans="1:12" ht="12.75" customHeight="1" x14ac:dyDescent="0.25">
      <c r="A186" s="181" t="s">
        <v>274</v>
      </c>
      <c r="B186" s="181" t="s">
        <v>320</v>
      </c>
      <c r="C186" s="234" t="s">
        <v>366</v>
      </c>
      <c r="D186" s="238" t="s">
        <v>367</v>
      </c>
      <c r="E186" s="187" t="s">
        <v>368</v>
      </c>
      <c r="F186" s="229" t="s">
        <v>175</v>
      </c>
      <c r="G186" s="177"/>
      <c r="H186" s="97" t="s">
        <v>418</v>
      </c>
      <c r="I186" s="5">
        <v>3</v>
      </c>
      <c r="J186" s="80" t="b">
        <v>0</v>
      </c>
      <c r="K186" s="17"/>
      <c r="L186" s="17"/>
    </row>
    <row r="187" spans="1:12" ht="28.5" customHeight="1" x14ac:dyDescent="0.25">
      <c r="A187" s="182"/>
      <c r="B187" s="182"/>
      <c r="C187" s="235"/>
      <c r="D187" s="239"/>
      <c r="E187" s="212"/>
      <c r="F187" s="233"/>
      <c r="G187" s="178"/>
      <c r="H187" s="105" t="s">
        <v>417</v>
      </c>
      <c r="I187" s="42">
        <v>2</v>
      </c>
      <c r="J187" s="87" t="b">
        <v>0</v>
      </c>
      <c r="K187" s="43"/>
      <c r="L187" s="43"/>
    </row>
    <row r="188" spans="1:12" ht="83.25" customHeight="1" x14ac:dyDescent="0.25">
      <c r="A188" s="182"/>
      <c r="B188" s="182"/>
      <c r="C188" s="235"/>
      <c r="D188" s="239"/>
      <c r="E188" s="212"/>
      <c r="F188" s="233"/>
      <c r="G188" s="178"/>
      <c r="H188" s="105" t="s">
        <v>416</v>
      </c>
      <c r="I188" s="42">
        <v>1</v>
      </c>
      <c r="J188" s="87" t="b">
        <v>1</v>
      </c>
      <c r="K188" s="43" t="s">
        <v>530</v>
      </c>
      <c r="L188" s="41" t="s">
        <v>540</v>
      </c>
    </row>
    <row r="189" spans="1:12" x14ac:dyDescent="0.25">
      <c r="A189" s="183"/>
      <c r="B189" s="183"/>
      <c r="C189" s="236"/>
      <c r="D189" s="240"/>
      <c r="E189" s="188"/>
      <c r="F189" s="230"/>
      <c r="G189" s="178"/>
      <c r="H189" s="7" t="s">
        <v>192</v>
      </c>
      <c r="I189" s="8">
        <v>0</v>
      </c>
      <c r="J189" s="77" t="b">
        <v>0</v>
      </c>
      <c r="K189" s="15"/>
      <c r="L189" s="7"/>
    </row>
    <row r="190" spans="1:12" ht="38.1" customHeight="1" x14ac:dyDescent="0.25">
      <c r="A190" s="184"/>
      <c r="B190" s="184"/>
      <c r="C190" s="237"/>
      <c r="D190" s="241"/>
      <c r="E190" s="189"/>
      <c r="F190" s="231"/>
      <c r="G190" s="179"/>
      <c r="H190" s="101" t="s">
        <v>411</v>
      </c>
      <c r="I190" s="11" t="s">
        <v>104</v>
      </c>
      <c r="J190" s="76" t="b">
        <v>0</v>
      </c>
      <c r="K190" s="18"/>
      <c r="L190" s="10"/>
    </row>
    <row r="191" spans="1:12" ht="57.6" hidden="1" customHeight="1" x14ac:dyDescent="0.25">
      <c r="A191" s="33" t="s">
        <v>274</v>
      </c>
      <c r="B191" s="33" t="s">
        <v>320</v>
      </c>
      <c r="C191" s="103" t="s">
        <v>369</v>
      </c>
      <c r="D191" s="104" t="s">
        <v>373</v>
      </c>
      <c r="E191" s="24" t="s">
        <v>409</v>
      </c>
      <c r="F191" s="44" t="s">
        <v>240</v>
      </c>
      <c r="G191" s="33"/>
      <c r="H191" s="48" t="s">
        <v>390</v>
      </c>
      <c r="I191" s="48" t="s">
        <v>104</v>
      </c>
      <c r="J191" s="106"/>
      <c r="K191" s="33"/>
      <c r="L191" s="24"/>
    </row>
    <row r="192" spans="1:12" x14ac:dyDescent="0.25">
      <c r="A192" s="181" t="s">
        <v>274</v>
      </c>
      <c r="B192" s="181" t="s">
        <v>320</v>
      </c>
      <c r="C192" s="234" t="s">
        <v>372</v>
      </c>
      <c r="D192" s="238" t="s">
        <v>370</v>
      </c>
      <c r="E192" s="187" t="s">
        <v>371</v>
      </c>
      <c r="F192" s="229" t="s">
        <v>175</v>
      </c>
      <c r="G192" s="177"/>
      <c r="H192" s="97" t="s">
        <v>415</v>
      </c>
      <c r="I192" s="5">
        <v>3</v>
      </c>
      <c r="J192" s="80" t="b">
        <v>0</v>
      </c>
      <c r="K192" s="17"/>
      <c r="L192" s="4"/>
    </row>
    <row r="193" spans="1:12" ht="25.5" x14ac:dyDescent="0.25">
      <c r="A193" s="182"/>
      <c r="B193" s="182"/>
      <c r="C193" s="235"/>
      <c r="D193" s="239"/>
      <c r="E193" s="212"/>
      <c r="F193" s="233"/>
      <c r="G193" s="178"/>
      <c r="H193" s="105" t="s">
        <v>414</v>
      </c>
      <c r="I193" s="42">
        <v>2</v>
      </c>
      <c r="J193" s="87" t="b">
        <v>0</v>
      </c>
      <c r="K193" s="43"/>
      <c r="L193" s="41"/>
    </row>
    <row r="194" spans="1:12" ht="102" x14ac:dyDescent="0.25">
      <c r="A194" s="182"/>
      <c r="B194" s="182"/>
      <c r="C194" s="235"/>
      <c r="D194" s="239"/>
      <c r="E194" s="212"/>
      <c r="F194" s="233"/>
      <c r="G194" s="178"/>
      <c r="H194" s="105" t="s">
        <v>413</v>
      </c>
      <c r="I194" s="42">
        <v>1</v>
      </c>
      <c r="J194" s="87" t="b">
        <v>1</v>
      </c>
      <c r="K194" s="43" t="s">
        <v>530</v>
      </c>
      <c r="L194" s="41" t="s">
        <v>541</v>
      </c>
    </row>
    <row r="195" spans="1:12" x14ac:dyDescent="0.25">
      <c r="A195" s="183"/>
      <c r="B195" s="183"/>
      <c r="C195" s="236"/>
      <c r="D195" s="240"/>
      <c r="E195" s="188"/>
      <c r="F195" s="230"/>
      <c r="G195" s="178"/>
      <c r="H195" s="7" t="s">
        <v>192</v>
      </c>
      <c r="I195" s="8">
        <v>0</v>
      </c>
      <c r="J195" s="77" t="b">
        <v>0</v>
      </c>
      <c r="K195" s="15"/>
      <c r="L195" s="7"/>
    </row>
    <row r="196" spans="1:12" ht="23.1" customHeight="1" x14ac:dyDescent="0.25">
      <c r="A196" s="184"/>
      <c r="B196" s="184"/>
      <c r="C196" s="237"/>
      <c r="D196" s="241"/>
      <c r="E196" s="189"/>
      <c r="F196" s="231"/>
      <c r="G196" s="179"/>
      <c r="H196" s="101" t="s">
        <v>410</v>
      </c>
      <c r="I196" s="11" t="s">
        <v>104</v>
      </c>
      <c r="J196" s="76" t="b">
        <v>0</v>
      </c>
      <c r="K196" s="18"/>
      <c r="L196" s="10"/>
    </row>
    <row r="197" spans="1:12" ht="51" hidden="1" customHeight="1" x14ac:dyDescent="0.25">
      <c r="A197" s="25" t="s">
        <v>274</v>
      </c>
      <c r="B197" s="25" t="s">
        <v>320</v>
      </c>
      <c r="C197" s="47" t="s">
        <v>407</v>
      </c>
      <c r="D197" s="68" t="s">
        <v>408</v>
      </c>
      <c r="E197" s="26" t="s">
        <v>412</v>
      </c>
      <c r="F197" s="55" t="s">
        <v>240</v>
      </c>
      <c r="G197" s="26"/>
      <c r="H197" s="48" t="s">
        <v>390</v>
      </c>
      <c r="I197" s="48" t="s">
        <v>104</v>
      </c>
      <c r="J197" s="88"/>
      <c r="K197" s="25"/>
      <c r="L197" s="26"/>
    </row>
    <row r="198" spans="1:12" ht="117" customHeight="1" x14ac:dyDescent="0.25">
      <c r="A198" s="25" t="s">
        <v>56</v>
      </c>
      <c r="B198" s="25" t="s">
        <v>56</v>
      </c>
      <c r="C198" s="47">
        <v>20</v>
      </c>
      <c r="D198" s="68" t="s">
        <v>374</v>
      </c>
      <c r="E198" s="26" t="s">
        <v>375</v>
      </c>
      <c r="F198" s="55" t="s">
        <v>240</v>
      </c>
      <c r="G198" s="26"/>
      <c r="H198" s="48" t="s">
        <v>398</v>
      </c>
      <c r="I198" s="48" t="s">
        <v>104</v>
      </c>
      <c r="J198" s="88" t="s">
        <v>542</v>
      </c>
      <c r="K198" s="25" t="s">
        <v>530</v>
      </c>
      <c r="L198" s="26" t="s">
        <v>543</v>
      </c>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Mõisted!$B$21:$B$38</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M74"/>
  <sheetViews>
    <sheetView topLeftCell="A54" workbookViewId="0">
      <selection activeCell="A60" sqref="A60"/>
    </sheetView>
  </sheetViews>
  <sheetFormatPr defaultColWidth="9.140625" defaultRowHeight="12.75" x14ac:dyDescent="0.2"/>
  <cols>
    <col min="1" max="1" width="26.42578125" style="111" customWidth="1"/>
    <col min="2" max="3" width="16.7109375" style="111" customWidth="1"/>
    <col min="4" max="4" width="16.7109375" style="112" customWidth="1"/>
    <col min="5" max="5" width="11.140625" style="113" customWidth="1"/>
    <col min="6" max="6" width="16.28515625" style="113" customWidth="1"/>
    <col min="7" max="16384" width="9.140625" style="113"/>
  </cols>
  <sheetData>
    <row r="1" spans="1:13" x14ac:dyDescent="0.2">
      <c r="A1" s="111" t="s">
        <v>423</v>
      </c>
      <c r="B1" s="111" t="s">
        <v>82</v>
      </c>
      <c r="C1" s="111" t="s">
        <v>83</v>
      </c>
      <c r="D1" s="112" t="s">
        <v>58</v>
      </c>
      <c r="E1" s="113" t="s">
        <v>424</v>
      </c>
      <c r="F1" s="113" t="s">
        <v>425</v>
      </c>
    </row>
    <row r="2" spans="1:13" ht="25.5" x14ac:dyDescent="0.2">
      <c r="A2" s="111">
        <v>0</v>
      </c>
      <c r="B2" s="111" t="s">
        <v>91</v>
      </c>
      <c r="C2" s="111" t="s">
        <v>91</v>
      </c>
      <c r="D2" s="112" t="s">
        <v>92</v>
      </c>
      <c r="E2" s="113">
        <f>IF(F2="pole asjakohane","",3)</f>
        <v>3</v>
      </c>
      <c r="F2" s="113">
        <f>IF(Hindamistabel!J2=TRUE,0,IF(Hindamistabel!J3=TRUE,1,IF(Hindamistabel!J4=TRUE,1,IF(Hindamistabel!J5=TRUE,2,IF(Hindamistabel!J6=TRUE,2,IF(Hindamistabel!J7=TRUE,3,IF(Hindamistabel!J8=TRUE,3,IF(Hindamistabel!J9=TRUE,"pole asjakohane",""))))))))</f>
        <v>3</v>
      </c>
    </row>
    <row r="3" spans="1:13" ht="102" x14ac:dyDescent="0.2">
      <c r="A3" s="114" t="s">
        <v>107</v>
      </c>
      <c r="B3" s="114" t="s">
        <v>105</v>
      </c>
      <c r="C3" s="114" t="s">
        <v>106</v>
      </c>
      <c r="D3" s="115" t="s">
        <v>419</v>
      </c>
      <c r="E3" s="116" t="str">
        <f>IF(F3="pole asjakohane","",3)</f>
        <v/>
      </c>
      <c r="F3" s="116" t="str">
        <f>IF(Hindamistabel!J10=TRUE,0,IF(Hindamistabel!J11=TRUE,1,IF(Hindamistabel!J12=TRUE,2,IF(Hindamistabel!J13=TRUE,3,IF(Hindamistabel!J14=TRUE,"pole asjakohane","")))))</f>
        <v>pole asjakohane</v>
      </c>
    </row>
    <row r="4" spans="1:13" ht="114.75" x14ac:dyDescent="0.2">
      <c r="A4" s="117" t="s">
        <v>115</v>
      </c>
      <c r="B4" s="117" t="s">
        <v>105</v>
      </c>
      <c r="C4" s="117" t="s">
        <v>106</v>
      </c>
      <c r="D4" s="118" t="s">
        <v>420</v>
      </c>
      <c r="E4" s="119">
        <f>IF(F4="pole asjakohane","",3)</f>
        <v>3</v>
      </c>
      <c r="F4" s="119">
        <f>IF(Hindamistabel!J15=TRUE,0,IF(Hindamistabel!J16=TRUE,1,IF(Hindamistabel!J17=TRUE,2,IF(Hindamistabel!J18=TRUE,3,IF(Hindamistabel!J19=TRUE,"pole asjakohane","")))))</f>
        <v>2</v>
      </c>
    </row>
    <row r="5" spans="1:13" ht="51" x14ac:dyDescent="0.2">
      <c r="A5" s="117" t="s">
        <v>119</v>
      </c>
      <c r="B5" s="117" t="s">
        <v>105</v>
      </c>
      <c r="C5" s="117" t="s">
        <v>106</v>
      </c>
      <c r="D5" s="118" t="s">
        <v>120</v>
      </c>
      <c r="E5" s="119" t="str">
        <f>IF(OR(F5="pole asjakohane",Hindamistabel!J10=TRUE,Hindamistabel!J14=TRUE),"",3)</f>
        <v/>
      </c>
      <c r="F5" s="119" t="str">
        <f>IF(Hindamistabel!J20=TRUE,0,IF(Hindamistabel!J21=TRUE,1,IF(Hindamistabel!J22=TRUE,2,IF(Hindamistabel!J23=TRUE,3,IF(Hindamistabel!J24=TRUE,"pole asjakohane","")))))</f>
        <v/>
      </c>
    </row>
    <row r="6" spans="1:13" ht="63.75" x14ac:dyDescent="0.2">
      <c r="A6" s="117" t="s">
        <v>127</v>
      </c>
      <c r="B6" s="117" t="s">
        <v>105</v>
      </c>
      <c r="C6" s="117" t="s">
        <v>106</v>
      </c>
      <c r="D6" s="118" t="s">
        <v>128</v>
      </c>
      <c r="E6" s="119">
        <f>IF(OR(F6="pole asjakohane",Hindamistabel!J15=TRUE,Hindamistabel!J19=TRUE),"",3)</f>
        <v>3</v>
      </c>
      <c r="F6" s="119">
        <f>IF(Hindamistabel!J25=TRUE,0,IF(Hindamistabel!J26=TRUE,1,IF(Hindamistabel!J27=TRUE,2,IF(Hindamistabel!J28=TRUE,3,IF(Hindamistabel!J29=TRUE,"pole asjakohane","")))))</f>
        <v>1</v>
      </c>
    </row>
    <row r="7" spans="1:13" ht="140.25" x14ac:dyDescent="0.2">
      <c r="A7" s="117" t="s">
        <v>131</v>
      </c>
      <c r="B7" s="117" t="s">
        <v>105</v>
      </c>
      <c r="C7" s="117" t="s">
        <v>106</v>
      </c>
      <c r="D7" s="118" t="s">
        <v>132</v>
      </c>
      <c r="E7" s="119">
        <f>IF(OR(F7="pole asjakohane", Hindamistabel!J2=TRUE,Hindamistabel!J9=TRUE),"",3)</f>
        <v>3</v>
      </c>
      <c r="F7" s="119">
        <f>IF(Hindamistabel!J30=TRUE,0,IF(Hindamistabel!J31=TRUE,1,IF(Hindamistabel!J32=TRUE,2,IF(Hindamistabel!J33=TRUE,3,""))))</f>
        <v>2</v>
      </c>
    </row>
    <row r="8" spans="1:13" ht="51" x14ac:dyDescent="0.2">
      <c r="A8" s="117" t="s">
        <v>138</v>
      </c>
      <c r="B8" s="117" t="s">
        <v>105</v>
      </c>
      <c r="C8" s="117" t="s">
        <v>106</v>
      </c>
      <c r="D8" s="118" t="s">
        <v>139</v>
      </c>
      <c r="E8" s="119">
        <f>IF(OR(F8="pole asjakohane",Hindamistabel!J2=TRUE,Hindamistabel!J9=TRUE,Hindamistabel!J33=TRUE),"",3)</f>
        <v>3</v>
      </c>
      <c r="F8" s="119">
        <f>IF(Hindamistabel!J34=TRUE,0,IF(Hindamistabel!J35=TRUE,1,IF(Hindamistabel!J36=TRUE,2,IF(Hindamistabel!J37=TRUE,3,""))))</f>
        <v>2</v>
      </c>
    </row>
    <row r="9" spans="1:13" ht="102" x14ac:dyDescent="0.2">
      <c r="A9" s="120" t="s">
        <v>147</v>
      </c>
      <c r="B9" s="120" t="s">
        <v>105</v>
      </c>
      <c r="C9" s="120" t="s">
        <v>146</v>
      </c>
      <c r="D9" s="121" t="s">
        <v>148</v>
      </c>
      <c r="E9" s="122">
        <f t="shared" ref="E9" si="0">IF(F9="pole asjakohane","",3)</f>
        <v>3</v>
      </c>
      <c r="F9" s="122">
        <f>IF(Hindamistabel!J38=TRUE,0,IF(Hindamistabel!J39=TRUE,1,IF(Hindamistabel!J40=TRUE,1,IF(Hindamistabel!J41=TRUE,2,IF(Hindamistabel!J42=TRUE,3,"")))))</f>
        <v>3</v>
      </c>
    </row>
    <row r="10" spans="1:13" ht="89.25" x14ac:dyDescent="0.2">
      <c r="A10" s="120" t="s">
        <v>154</v>
      </c>
      <c r="B10" s="120" t="s">
        <v>105</v>
      </c>
      <c r="C10" s="120" t="s">
        <v>146</v>
      </c>
      <c r="D10" s="121" t="s">
        <v>155</v>
      </c>
      <c r="E10" s="122">
        <f>IF(OR(F10="pole asjakohane",Hindamistabel!J38=TRUE),"",3)</f>
        <v>3</v>
      </c>
      <c r="F10" s="122">
        <f>IF(Hindamistabel!J43=TRUE,0,IF(Hindamistabel!J44=TRUE,1,IF(Hindamistabel!J45=TRUE,2,IF(Hindamistabel!J46=TRUE,3,""))))</f>
        <v>3</v>
      </c>
    </row>
    <row r="11" spans="1:13" ht="38.25" x14ac:dyDescent="0.2">
      <c r="A11" s="120" t="s">
        <v>161</v>
      </c>
      <c r="B11" s="120" t="s">
        <v>105</v>
      </c>
      <c r="C11" s="120" t="s">
        <v>146</v>
      </c>
      <c r="D11" s="121" t="s">
        <v>162</v>
      </c>
      <c r="E11" s="108" t="s">
        <v>104</v>
      </c>
      <c r="F11" s="108" t="s">
        <v>104</v>
      </c>
    </row>
    <row r="12" spans="1:13" ht="76.5" x14ac:dyDescent="0.2">
      <c r="A12" s="120">
        <v>4</v>
      </c>
      <c r="B12" s="120" t="s">
        <v>105</v>
      </c>
      <c r="C12" s="120" t="s">
        <v>146</v>
      </c>
      <c r="D12" s="121" t="s">
        <v>166</v>
      </c>
      <c r="E12" s="122">
        <f>IF(OR(F12="pole asjakohane",Hindamistabel!J9=TRUE,Hindamistabel!J2=TRUE),"",3)</f>
        <v>3</v>
      </c>
      <c r="F12" s="122">
        <f>IF(Hindamistabel!J52=TRUE,0,IF(Hindamistabel!J53=TRUE,2,IF(Hindamistabel!J54=TRUE,3,"")))</f>
        <v>2</v>
      </c>
    </row>
    <row r="13" spans="1:13" ht="76.5" x14ac:dyDescent="0.2">
      <c r="A13" s="117" t="s">
        <v>172</v>
      </c>
      <c r="B13" s="117" t="s">
        <v>105</v>
      </c>
      <c r="C13" s="117" t="s">
        <v>171</v>
      </c>
      <c r="D13" s="118" t="s">
        <v>173</v>
      </c>
      <c r="E13" s="119">
        <f>IF(OR(F13="pole asjakohane",Hindamistabel!J9=TRUE,Hindamistabel!J2=TRUE),"",3)</f>
        <v>3</v>
      </c>
      <c r="F13" s="119">
        <f>IF(Hindamistabel!J55=TRUE,0,IF(Hindamistabel!J56=TRUE,1,IF(Hindamistabel!J57=TRUE,1,IF(Hindamistabel!J58=TRUE,2,IF(Hindamistabel!J59=TRUE,3,"")))))</f>
        <v>3</v>
      </c>
    </row>
    <row r="14" spans="1:13" ht="89.25" x14ac:dyDescent="0.2">
      <c r="A14" s="117" t="s">
        <v>181</v>
      </c>
      <c r="B14" s="117" t="s">
        <v>105</v>
      </c>
      <c r="C14" s="117" t="s">
        <v>171</v>
      </c>
      <c r="D14" s="118" t="s">
        <v>182</v>
      </c>
      <c r="E14" s="119">
        <f>IF(OR(F14="pole asjakohane",Hindamistabel!J9=TRUE,Hindamistabel!J2=TRUE,Hindamistabel!J55=TRUE,Hindamistabel!J56=TRUE),"",3)</f>
        <v>3</v>
      </c>
      <c r="F14" s="119">
        <f>IF(Hindamistabel!J60=TRUE,0,IF(Hindamistabel!J61=TRUE,1,IF(Hindamistabel!J62=TRUE,2,IF(Hindamistabel!J63=TRUE,3,""))))</f>
        <v>3</v>
      </c>
    </row>
    <row r="15" spans="1:13" ht="114.75" x14ac:dyDescent="0.2">
      <c r="A15" s="117" t="s">
        <v>188</v>
      </c>
      <c r="B15" s="117" t="s">
        <v>105</v>
      </c>
      <c r="C15" s="117" t="s">
        <v>171</v>
      </c>
      <c r="D15" s="118" t="s">
        <v>189</v>
      </c>
      <c r="E15" s="119" t="str">
        <f>IF(OR(F15="pole asjakohane",Hindamistabel!J9=TRUE,Hindamistabel!J2=TRUE),"",3)</f>
        <v/>
      </c>
      <c r="F15" s="119" t="str">
        <f>IF(Hindamistabel!J64=TRUE,"pole asjakohane",IF(Hindamistabel!J65=TRUE,0,IF(Hindamistabel!J66=TRUE,3,"")))</f>
        <v>pole asjakohane</v>
      </c>
    </row>
    <row r="16" spans="1:13" ht="114.75" x14ac:dyDescent="0.2">
      <c r="A16" s="117" t="s">
        <v>194</v>
      </c>
      <c r="B16" s="117" t="s">
        <v>105</v>
      </c>
      <c r="C16" s="117" t="s">
        <v>171</v>
      </c>
      <c r="D16" s="118" t="s">
        <v>195</v>
      </c>
      <c r="E16" s="119">
        <f>IF(OR(F16="pole asjakohane",Hindamistabel!J9=TRUE,Hindamistabel!J2=TRUE),"",3)</f>
        <v>3</v>
      </c>
      <c r="F16" s="119">
        <f>IF(Hindamistabel!J67=TRUE,"pole asjakohane",IF(Hindamistabel!J68=TRUE,1,IF(Hindamistabel!J69=TRUE,3,"")))</f>
        <v>3</v>
      </c>
      <c r="M16" s="113" t="s">
        <v>426</v>
      </c>
    </row>
    <row r="17" spans="1:6" ht="102" x14ac:dyDescent="0.2">
      <c r="A17" s="120" t="s">
        <v>198</v>
      </c>
      <c r="B17" s="120" t="s">
        <v>105</v>
      </c>
      <c r="C17" s="120" t="s">
        <v>197</v>
      </c>
      <c r="D17" s="121" t="s">
        <v>199</v>
      </c>
      <c r="E17" s="108" t="s">
        <v>104</v>
      </c>
      <c r="F17" s="108" t="s">
        <v>104</v>
      </c>
    </row>
    <row r="18" spans="1:6" ht="89.25" x14ac:dyDescent="0.2">
      <c r="A18" s="120" t="s">
        <v>203</v>
      </c>
      <c r="B18" s="120" t="s">
        <v>105</v>
      </c>
      <c r="C18" s="120" t="s">
        <v>197</v>
      </c>
      <c r="D18" s="121" t="s">
        <v>204</v>
      </c>
      <c r="E18" s="122">
        <f>IF(OR(F18="pole asjakohane",Hindamistabel!J9=TRUE,Hindamistabel!J2=TRUE,Hindamistabel!J71=TRUE),"",3)</f>
        <v>3</v>
      </c>
      <c r="F18" s="122">
        <f>IF(Hindamistabel!J72=TRUE,0,IF(Hindamistabel!J73=TRUE,1,IF(Hindamistabel!J74=TRUE,2,IF(Hindamistabel!J75=TRUE,3,""))))</f>
        <v>2</v>
      </c>
    </row>
    <row r="19" spans="1:6" ht="63.75" x14ac:dyDescent="0.2">
      <c r="A19" s="120" t="s">
        <v>210</v>
      </c>
      <c r="B19" s="120" t="s">
        <v>105</v>
      </c>
      <c r="C19" s="120" t="s">
        <v>197</v>
      </c>
      <c r="D19" s="121" t="s">
        <v>211</v>
      </c>
      <c r="E19" s="122">
        <f>IF(OR(F19="pole asjakohane",Hindamistabel!J9=TRUE,Hindamistabel!J2=TRUE,Hindamistabel!J71=TRUE,Hindamistabel!J72=TRUE),"",3)</f>
        <v>3</v>
      </c>
      <c r="F19" s="122">
        <f>IF(Hindamistabel!J76=TRUE,"pole asjakohane",IF(Hindamistabel!J77=TRUE,0,IF(Hindamistabel!J78=TRUE,0,IF(Hindamistabel!J79=TRUE,3,""))))</f>
        <v>3</v>
      </c>
    </row>
    <row r="20" spans="1:6" ht="89.25" x14ac:dyDescent="0.2">
      <c r="A20" s="120" t="s">
        <v>216</v>
      </c>
      <c r="B20" s="120" t="s">
        <v>105</v>
      </c>
      <c r="C20" s="120" t="s">
        <v>197</v>
      </c>
      <c r="D20" s="121" t="s">
        <v>217</v>
      </c>
      <c r="E20" s="122">
        <f>IF(OR(F20="pole asjakohane",Hindamistabel!J9=TRUE,Hindamistabel!J2=TRUE,Hindamistabel!J71=TRUE,Hindamistabel!J72=TRUE),"",3)</f>
        <v>3</v>
      </c>
      <c r="F20" s="122">
        <f>IF(Hindamistabel!J80=TRUE,0,IF(Hindamistabel!J81=TRUE,1,IF(Hindamistabel!J82=TRUE,2,IF(Hindamistabel!J83=TRUE,3,""))))</f>
        <v>2</v>
      </c>
    </row>
    <row r="21" spans="1:6" ht="140.25" x14ac:dyDescent="0.2">
      <c r="A21" s="114">
        <v>7</v>
      </c>
      <c r="B21" s="114" t="s">
        <v>223</v>
      </c>
      <c r="C21" s="114" t="s">
        <v>224</v>
      </c>
      <c r="D21" s="115" t="s">
        <v>225</v>
      </c>
      <c r="E21" s="116">
        <f>IF(OR(F21="pole asjakohane",Hindamistabel!J9=TRUE,Hindamistabel!J2=TRUE),"",3)</f>
        <v>3</v>
      </c>
      <c r="F21" s="116">
        <f>IF(Hindamistabel!J84=TRUE,3,IF(Hindamistabel!J85=TRUE,1,""))</f>
        <v>1</v>
      </c>
    </row>
    <row r="22" spans="1:6" ht="153" x14ac:dyDescent="0.2">
      <c r="A22" s="117" t="s">
        <v>229</v>
      </c>
      <c r="B22" s="117" t="s">
        <v>223</v>
      </c>
      <c r="C22" s="117" t="s">
        <v>224</v>
      </c>
      <c r="D22" s="118" t="s">
        <v>230</v>
      </c>
      <c r="E22" s="119">
        <f>IF(OR(F22="pole asjakohane",Hindamistabel!J9=TRUE,Hindamistabel!J2=TRUE),"",3)</f>
        <v>3</v>
      </c>
      <c r="F22" s="119">
        <f>IF(Hindamistabel!J86=TRUE,"pole asjakohane",IF(Hindamistabel!J87=TRUE,0,IF(Hindamistabel!J88=TRUE,1,IF(Hindamistabel!J89=TRUE,2,IF(Hindamistabel!J90=TRUE,3,"")))))</f>
        <v>2</v>
      </c>
    </row>
    <row r="23" spans="1:6" ht="76.5" x14ac:dyDescent="0.2">
      <c r="A23" s="117" t="s">
        <v>237</v>
      </c>
      <c r="B23" s="117" t="s">
        <v>223</v>
      </c>
      <c r="C23" s="117" t="s">
        <v>224</v>
      </c>
      <c r="D23" s="118" t="s">
        <v>238</v>
      </c>
      <c r="E23" s="107" t="s">
        <v>104</v>
      </c>
      <c r="F23" s="107" t="s">
        <v>104</v>
      </c>
    </row>
    <row r="24" spans="1:6" ht="76.5" x14ac:dyDescent="0.2">
      <c r="A24" s="117">
        <v>9</v>
      </c>
      <c r="B24" s="117" t="s">
        <v>223</v>
      </c>
      <c r="C24" s="117" t="s">
        <v>224</v>
      </c>
      <c r="D24" s="118" t="s">
        <v>241</v>
      </c>
      <c r="E24" s="119">
        <f t="shared" ref="E24:E48" si="1">IF(F24="pole asjakohane","",3)</f>
        <v>3</v>
      </c>
      <c r="F24" s="119">
        <f>IF(Hindamistabel!J92=TRUE,0,IF(Hindamistabel!J93=TRUE,1,IF(Hindamistabel!J94=TRUE,2,IF(Hindamistabel!J95=TRUE,3,""))))</f>
        <v>1</v>
      </c>
    </row>
    <row r="25" spans="1:6" ht="76.5" x14ac:dyDescent="0.2">
      <c r="A25" s="120" t="s">
        <v>248</v>
      </c>
      <c r="B25" s="120" t="s">
        <v>223</v>
      </c>
      <c r="C25" s="120" t="s">
        <v>247</v>
      </c>
      <c r="D25" s="121" t="s">
        <v>249</v>
      </c>
      <c r="E25" s="122">
        <f t="shared" si="1"/>
        <v>3</v>
      </c>
      <c r="F25" s="122">
        <f>IF(Hindamistabel!J96=TRUE,"pole asjakohane",IF(Hindamistabel!J97=TRUE,0,IF(Hindamistabel!J98=TRUE,1,IF(Hindamistabel!J99=TRUE,3,""))))</f>
        <v>3</v>
      </c>
    </row>
    <row r="26" spans="1:6" ht="127.5" x14ac:dyDescent="0.2">
      <c r="A26" s="120" t="s">
        <v>256</v>
      </c>
      <c r="B26" s="120" t="s">
        <v>223</v>
      </c>
      <c r="C26" s="120" t="s">
        <v>247</v>
      </c>
      <c r="D26" s="121" t="s">
        <v>257</v>
      </c>
      <c r="E26" s="122">
        <f t="shared" si="1"/>
        <v>3</v>
      </c>
      <c r="F26" s="122">
        <f>IF(Hindamistabel!J100=TRUE,"pole asjakohane",IF(Hindamistabel!J101=TRUE,0,IF(Hindamistabel!J102=TRUE,1,IF(Hindamistabel!J103=TRUE,3,""))))</f>
        <v>3</v>
      </c>
    </row>
    <row r="27" spans="1:6" ht="102" x14ac:dyDescent="0.2">
      <c r="A27" s="120" t="s">
        <v>260</v>
      </c>
      <c r="B27" s="120" t="s">
        <v>223</v>
      </c>
      <c r="C27" s="120" t="s">
        <v>247</v>
      </c>
      <c r="D27" s="121" t="s">
        <v>261</v>
      </c>
      <c r="E27" s="108" t="s">
        <v>104</v>
      </c>
      <c r="F27" s="108" t="s">
        <v>104</v>
      </c>
    </row>
    <row r="28" spans="1:6" ht="63.75" x14ac:dyDescent="0.2">
      <c r="A28" s="120" t="s">
        <v>266</v>
      </c>
      <c r="B28" s="120" t="s">
        <v>223</v>
      </c>
      <c r="C28" s="120" t="s">
        <v>247</v>
      </c>
      <c r="D28" s="121" t="s">
        <v>267</v>
      </c>
      <c r="E28" s="109" t="s">
        <v>104</v>
      </c>
      <c r="F28" s="109" t="s">
        <v>104</v>
      </c>
    </row>
    <row r="29" spans="1:6" ht="89.25" x14ac:dyDescent="0.2">
      <c r="A29" s="114" t="s">
        <v>275</v>
      </c>
      <c r="B29" s="114" t="s">
        <v>274</v>
      </c>
      <c r="C29" s="114" t="s">
        <v>197</v>
      </c>
      <c r="D29" s="115" t="s">
        <v>276</v>
      </c>
      <c r="E29" s="119">
        <f>IF(OR(F29="pole asjakohane",Hindamistabel!J9=TRUE,Hindamistabel!J2=TRUE),"",3)</f>
        <v>3</v>
      </c>
      <c r="F29" s="119">
        <f>IF(Hindamistabel!J114=TRUE,"pole asjakohane",IF(Hindamistabel!J115=TRUE,3,IF(Hindamistabel!J116=TRUE,2,IF(Hindamistabel!J117=TRUE,1,IF(Hindamistabel!J118=TRUE,0,"")))))</f>
        <v>0</v>
      </c>
    </row>
    <row r="30" spans="1:6" ht="114.75" x14ac:dyDescent="0.2">
      <c r="A30" s="117" t="s">
        <v>283</v>
      </c>
      <c r="B30" s="117" t="s">
        <v>274</v>
      </c>
      <c r="C30" s="117" t="s">
        <v>197</v>
      </c>
      <c r="D30" s="118" t="s">
        <v>284</v>
      </c>
      <c r="E30" s="119" t="str">
        <f>IF(OR(F30="pole asjakohane",Hindamistabel!J9=TRUE,Hindamistabel!J2=TRUE),"",3)</f>
        <v/>
      </c>
      <c r="F30" s="119" t="str">
        <f>IF(Hindamistabel!J119=TRUE,"pole asjakohane",IF(Hindamistabel!J120=TRUE,3,IF(Hindamistabel!J121=TRUE,2,IF(Hindamistabel!J122=TRUE,1,IF(Hindamistabel!J123=TRUE,0,"")))))</f>
        <v>pole asjakohane</v>
      </c>
    </row>
    <row r="31" spans="1:6" ht="51" x14ac:dyDescent="0.2">
      <c r="A31" s="117" t="s">
        <v>286</v>
      </c>
      <c r="B31" s="117" t="s">
        <v>274</v>
      </c>
      <c r="C31" s="117" t="s">
        <v>197</v>
      </c>
      <c r="D31" s="118" t="s">
        <v>287</v>
      </c>
      <c r="E31" s="119">
        <f>IF(OR(F31="pole asjakohane",Hindamistabel!J9=TRUE,Hindamistabel!J2=TRUE),"",3)</f>
        <v>3</v>
      </c>
      <c r="F31" s="119">
        <f>IF(Hindamistabel!J124=TRUE,"pole asjakohane",IF(Hindamistabel!J125=TRUE,3,IF(Hindamistabel!J126=TRUE,2,IF(Hindamistabel!J127=TRUE,1,IF(Hindamistabel!J128=TRUE,0,"")))))</f>
        <v>2</v>
      </c>
    </row>
    <row r="32" spans="1:6" ht="51" x14ac:dyDescent="0.2">
      <c r="A32" s="117" t="s">
        <v>294</v>
      </c>
      <c r="B32" s="117" t="s">
        <v>274</v>
      </c>
      <c r="C32" s="117" t="s">
        <v>197</v>
      </c>
      <c r="D32" s="118" t="s">
        <v>295</v>
      </c>
      <c r="E32" s="119" t="str">
        <f>IF(OR(F32="pole asjakohane",Hindamistabel!J9=TRUE,Hindamistabel!J2=TRUE),"",3)</f>
        <v/>
      </c>
      <c r="F32" s="119" t="str">
        <f>IF(Hindamistabel!J129=TRUE,"pole asjakohane",IF(Hindamistabel!J130=TRUE,3,IF(Hindamistabel!J131=TRUE,2,IF(Hindamistabel!J132=TRUE,1,IF(Hindamistabel!J133=TRUE,0,"")))))</f>
        <v>pole asjakohane</v>
      </c>
    </row>
    <row r="33" spans="1:6" ht="140.25" x14ac:dyDescent="0.2">
      <c r="A33" s="117" t="s">
        <v>301</v>
      </c>
      <c r="B33" s="117" t="s">
        <v>274</v>
      </c>
      <c r="C33" s="117" t="s">
        <v>197</v>
      </c>
      <c r="D33" s="118" t="s">
        <v>302</v>
      </c>
      <c r="E33" s="119">
        <f>IF(OR(F33="pole asjakohane",Hindamistabel!J9=TRUE,Hindamistabel!J2=TRUE),"",3)</f>
        <v>3</v>
      </c>
      <c r="F33" s="119">
        <f>IF(Hindamistabel!J134=TRUE,"pole asjakohane",IF(Hindamistabel!J135=TRUE,3,IF(Hindamistabel!J136=TRUE,2,IF(Hindamistabel!J137=TRUE,1,IF(Hindamistabel!J138=TRUE,0,"")))))</f>
        <v>3</v>
      </c>
    </row>
    <row r="34" spans="1:6" ht="76.5" x14ac:dyDescent="0.2">
      <c r="A34" s="117" t="s">
        <v>304</v>
      </c>
      <c r="B34" s="117" t="s">
        <v>274</v>
      </c>
      <c r="C34" s="117" t="s">
        <v>197</v>
      </c>
      <c r="D34" s="118" t="s">
        <v>305</v>
      </c>
      <c r="E34" s="107" t="s">
        <v>104</v>
      </c>
      <c r="F34" s="107" t="s">
        <v>104</v>
      </c>
    </row>
    <row r="35" spans="1:6" ht="63.75" x14ac:dyDescent="0.2">
      <c r="A35" s="117" t="s">
        <v>307</v>
      </c>
      <c r="B35" s="117" t="s">
        <v>274</v>
      </c>
      <c r="C35" s="117" t="s">
        <v>197</v>
      </c>
      <c r="D35" s="118" t="s">
        <v>308</v>
      </c>
      <c r="E35" s="119">
        <f>IF(OR(F35="pole asjakohane",Hindamistabel!J9=TRUE,Hindamistabel!J2=TRUE),"",3)</f>
        <v>3</v>
      </c>
      <c r="F35" s="119">
        <f>IF(Hindamistabel!J140=TRUE,3,IF(Hindamistabel!J141=TRUE,2,IF(Hindamistabel!J142=TRUE,1,IF(Hindamistabel!J143=TRUE,0,IF(Hindamistabel!J144=TRUE,"pole asjakohane","")))))</f>
        <v>1</v>
      </c>
    </row>
    <row r="36" spans="1:6" ht="89.25" x14ac:dyDescent="0.2">
      <c r="A36" s="117" t="s">
        <v>310</v>
      </c>
      <c r="B36" s="117" t="s">
        <v>274</v>
      </c>
      <c r="C36" s="117" t="s">
        <v>197</v>
      </c>
      <c r="D36" s="118" t="s">
        <v>311</v>
      </c>
      <c r="E36" s="119">
        <f>IF(OR(F36="pole asjakohane",Hindamistabel!J9=TRUE,Hindamistabel!J2=TRUE),"",3)</f>
        <v>3</v>
      </c>
      <c r="F36" s="119">
        <f>IF(Hindamistabel!J145=TRUE,3,IF(Hindamistabel!J146=TRUE,2,IF(Hindamistabel!J147=TRUE,1,IF(Hindamistabel!J148=TRUE,0,IF(Hindamistabel!J149=TRUE,"pole asjakohane","")))))</f>
        <v>1</v>
      </c>
    </row>
    <row r="37" spans="1:6" ht="89.25" x14ac:dyDescent="0.2">
      <c r="A37" s="117" t="s">
        <v>313</v>
      </c>
      <c r="B37" s="117" t="s">
        <v>274</v>
      </c>
      <c r="C37" s="117" t="s">
        <v>197</v>
      </c>
      <c r="D37" s="118" t="s">
        <v>314</v>
      </c>
      <c r="E37" s="119">
        <f>IF(OR(F37="pole asjakohane",Hindamistabel!J9=TRUE,Hindamistabel!J2=TRUE),"",3)</f>
        <v>3</v>
      </c>
      <c r="F37" s="119">
        <f>IF(Hindamistabel!J150=TRUE,3,IF(Hindamistabel!J151=TRUE,2,IF(Hindamistabel!J152=TRUE,1,IF(Hindamistabel!J153=TRUE,0,IF(Hindamistabel!J154=TRUE,"pole asjakohane","")))))</f>
        <v>2</v>
      </c>
    </row>
    <row r="38" spans="1:6" ht="89.25" x14ac:dyDescent="0.2">
      <c r="A38" s="117" t="s">
        <v>317</v>
      </c>
      <c r="B38" s="117" t="s">
        <v>274</v>
      </c>
      <c r="C38" s="117" t="s">
        <v>197</v>
      </c>
      <c r="D38" s="118" t="s">
        <v>318</v>
      </c>
      <c r="E38" s="107" t="s">
        <v>104</v>
      </c>
      <c r="F38" s="107" t="s">
        <v>104</v>
      </c>
    </row>
    <row r="39" spans="1:6" ht="51" x14ac:dyDescent="0.2">
      <c r="A39" s="120" t="s">
        <v>321</v>
      </c>
      <c r="B39" s="120" t="s">
        <v>274</v>
      </c>
      <c r="C39" s="120" t="s">
        <v>320</v>
      </c>
      <c r="D39" s="121" t="s">
        <v>421</v>
      </c>
      <c r="E39" s="122" t="str">
        <f t="shared" si="1"/>
        <v/>
      </c>
      <c r="F39" s="122" t="str">
        <f>IF(Hindamistabel!J156=TRUE,3,IF(Hindamistabel!J157=TRUE,2,IF(Hindamistabel!J158=TRUE,1,IF(Hindamistabel!J159=TRUE,0,IF(Hindamistabel!J160=TRUE,"pole asjakohane","")))))</f>
        <v>pole asjakohane</v>
      </c>
    </row>
    <row r="40" spans="1:6" ht="114.75" x14ac:dyDescent="0.2">
      <c r="A40" s="120" t="s">
        <v>325</v>
      </c>
      <c r="B40" s="120" t="s">
        <v>274</v>
      </c>
      <c r="C40" s="120" t="s">
        <v>320</v>
      </c>
      <c r="D40" s="121" t="s">
        <v>326</v>
      </c>
      <c r="E40" s="108" t="s">
        <v>104</v>
      </c>
      <c r="F40" s="108" t="s">
        <v>104</v>
      </c>
    </row>
    <row r="41" spans="1:6" ht="89.25" x14ac:dyDescent="0.2">
      <c r="A41" s="120" t="s">
        <v>328</v>
      </c>
      <c r="B41" s="120" t="s">
        <v>274</v>
      </c>
      <c r="C41" s="120" t="s">
        <v>320</v>
      </c>
      <c r="D41" s="121" t="s">
        <v>329</v>
      </c>
      <c r="E41" s="108" t="s">
        <v>104</v>
      </c>
      <c r="F41" s="108" t="s">
        <v>104</v>
      </c>
    </row>
    <row r="42" spans="1:6" ht="204" x14ac:dyDescent="0.2">
      <c r="A42" s="120" t="s">
        <v>331</v>
      </c>
      <c r="B42" s="120" t="s">
        <v>274</v>
      </c>
      <c r="C42" s="120" t="s">
        <v>320</v>
      </c>
      <c r="D42" s="121" t="s">
        <v>332</v>
      </c>
      <c r="E42" s="108" t="s">
        <v>104</v>
      </c>
      <c r="F42" s="108" t="s">
        <v>104</v>
      </c>
    </row>
    <row r="43" spans="1:6" ht="63.75" x14ac:dyDescent="0.2">
      <c r="A43" s="120" t="s">
        <v>334</v>
      </c>
      <c r="B43" s="120" t="s">
        <v>274</v>
      </c>
      <c r="C43" s="120" t="s">
        <v>320</v>
      </c>
      <c r="D43" s="121" t="s">
        <v>422</v>
      </c>
      <c r="E43" s="122">
        <f t="shared" si="1"/>
        <v>3</v>
      </c>
      <c r="F43" s="122">
        <f>IF(Hindamistabel!J164=TRUE,3,IF(Hindamistabel!J165=TRUE,2,IF(Hindamistabel!J166=TRUE,1,IF(Hindamistabel!J167=TRUE,0,IF(Hindamistabel!J168=TRUE,"pole asjakohane","")))))</f>
        <v>3</v>
      </c>
    </row>
    <row r="44" spans="1:6" ht="114.75" x14ac:dyDescent="0.2">
      <c r="A44" s="120" t="s">
        <v>338</v>
      </c>
      <c r="B44" s="120" t="s">
        <v>274</v>
      </c>
      <c r="C44" s="120" t="s">
        <v>320</v>
      </c>
      <c r="D44" s="121" t="s">
        <v>339</v>
      </c>
      <c r="E44" s="108" t="s">
        <v>104</v>
      </c>
      <c r="F44" s="108" t="s">
        <v>104</v>
      </c>
    </row>
    <row r="45" spans="1:6" ht="89.25" x14ac:dyDescent="0.2">
      <c r="A45" s="120" t="s">
        <v>340</v>
      </c>
      <c r="B45" s="120" t="s">
        <v>274</v>
      </c>
      <c r="C45" s="120" t="s">
        <v>320</v>
      </c>
      <c r="D45" s="121" t="s">
        <v>341</v>
      </c>
      <c r="E45" s="108" t="s">
        <v>104</v>
      </c>
      <c r="F45" s="108" t="s">
        <v>104</v>
      </c>
    </row>
    <row r="46" spans="1:6" ht="229.5" x14ac:dyDescent="0.2">
      <c r="A46" s="120" t="s">
        <v>343</v>
      </c>
      <c r="B46" s="120" t="s">
        <v>274</v>
      </c>
      <c r="C46" s="120" t="s">
        <v>320</v>
      </c>
      <c r="D46" s="121" t="s">
        <v>344</v>
      </c>
      <c r="E46" s="108" t="s">
        <v>104</v>
      </c>
      <c r="F46" s="108" t="s">
        <v>104</v>
      </c>
    </row>
    <row r="47" spans="1:6" ht="51" x14ac:dyDescent="0.2">
      <c r="A47" s="120">
        <v>16</v>
      </c>
      <c r="B47" s="120" t="s">
        <v>274</v>
      </c>
      <c r="C47" s="120" t="s">
        <v>320</v>
      </c>
      <c r="D47" s="121" t="s">
        <v>346</v>
      </c>
      <c r="E47" s="122">
        <f t="shared" si="1"/>
        <v>3</v>
      </c>
      <c r="F47" s="122">
        <f>IF(Hindamistabel!J172=TRUE,3,IF(Hindamistabel!J173=TRUE,2,IF(Hindamistabel!J174=TRUE,1,IF(Hindamistabel!J175=TRUE,0,""))))</f>
        <v>3</v>
      </c>
    </row>
    <row r="48" spans="1:6" ht="51" x14ac:dyDescent="0.2">
      <c r="A48" s="120">
        <v>17</v>
      </c>
      <c r="B48" s="120" t="s">
        <v>274</v>
      </c>
      <c r="C48" s="120" t="s">
        <v>320</v>
      </c>
      <c r="D48" s="121" t="s">
        <v>351</v>
      </c>
      <c r="E48" s="122">
        <f t="shared" si="1"/>
        <v>3</v>
      </c>
      <c r="F48" s="122">
        <f>IF(Hindamistabel!J176=TRUE,3,IF(Hindamistabel!J177=TRUE,2,IF(Hindamistabel!J178=TRUE,1,IF(Hindamistabel!J179=TRUE,0,""))))</f>
        <v>3</v>
      </c>
    </row>
    <row r="49" spans="1:6" ht="38.25" x14ac:dyDescent="0.2">
      <c r="A49" s="120" t="s">
        <v>354</v>
      </c>
      <c r="B49" s="120" t="s">
        <v>274</v>
      </c>
      <c r="C49" s="120" t="s">
        <v>320</v>
      </c>
      <c r="D49" s="121" t="s">
        <v>355</v>
      </c>
      <c r="E49" s="122" t="str">
        <f>IF(F49="pole asjakohane","",3)</f>
        <v/>
      </c>
      <c r="F49" s="122" t="str">
        <f>IF(Hindamistabel!J180=TRUE,0,IF(Hindamistabel!J181=TRUE,"pole asjakohane",IF(Hindamistabel!J182=TRUE,3,"")))</f>
        <v>pole asjakohane</v>
      </c>
    </row>
    <row r="50" spans="1:6" ht="76.5" x14ac:dyDescent="0.2">
      <c r="A50" s="120" t="s">
        <v>361</v>
      </c>
      <c r="B50" s="120" t="s">
        <v>274</v>
      </c>
      <c r="C50" s="120" t="s">
        <v>320</v>
      </c>
      <c r="D50" s="121" t="s">
        <v>362</v>
      </c>
      <c r="E50" s="122">
        <f>IF(OR(F50="pole asjakohane",Hindamistabel!J180=TRUE,Hindamistabel!J182=TRUE),"",2)</f>
        <v>2</v>
      </c>
      <c r="F50" s="122">
        <f>IF(Hindamistabel!J183=TRUE,1,IF(Hindamistabel!J184=TRUE,0,IF(Hindamistabel!J185=TRUE,2,"")))</f>
        <v>2</v>
      </c>
    </row>
    <row r="51" spans="1:6" ht="89.25" x14ac:dyDescent="0.2">
      <c r="A51" s="120" t="s">
        <v>366</v>
      </c>
      <c r="B51" s="120" t="s">
        <v>274</v>
      </c>
      <c r="C51" s="120" t="s">
        <v>320</v>
      </c>
      <c r="D51" s="121" t="s">
        <v>367</v>
      </c>
      <c r="E51" s="122">
        <f>IF(F51="ei kohaldu","",3)</f>
        <v>3</v>
      </c>
      <c r="F51" s="122">
        <f>IF(Hindamistabel!J186=TRUE,3,IF(Hindamistabel!J187=TRUE,2,IF(Hindamistabel!J188=TRUE,1,IF(Hindamistabel!J189=TRUE,0,IF(Hindamistabel!J190=TRUE,"ei kohaldu","")))))</f>
        <v>1</v>
      </c>
    </row>
    <row r="52" spans="1:6" ht="76.5" x14ac:dyDescent="0.2">
      <c r="A52" s="120" t="s">
        <v>369</v>
      </c>
      <c r="B52" s="120" t="s">
        <v>274</v>
      </c>
      <c r="C52" s="120" t="s">
        <v>320</v>
      </c>
      <c r="D52" s="121" t="s">
        <v>373</v>
      </c>
      <c r="E52" s="108" t="s">
        <v>104</v>
      </c>
      <c r="F52" s="108" t="s">
        <v>104</v>
      </c>
    </row>
    <row r="53" spans="1:6" ht="63.75" x14ac:dyDescent="0.2">
      <c r="A53" s="120" t="s">
        <v>372</v>
      </c>
      <c r="B53" s="120" t="s">
        <v>274</v>
      </c>
      <c r="C53" s="120" t="s">
        <v>320</v>
      </c>
      <c r="D53" s="121" t="s">
        <v>370</v>
      </c>
      <c r="E53" s="122">
        <f>IF(F53="ei kohaldu","",3)</f>
        <v>3</v>
      </c>
      <c r="F53" s="122">
        <f>IF(Hindamistabel!J192=TRUE,3,IF(Hindamistabel!J193=TRUE,2,IF(Hindamistabel!J194=TRUE,1,IF(Hindamistabel!J195=TRUE,0,IF(Hindamistabel!J196=TRUE,"ei kohaldu","")))))</f>
        <v>1</v>
      </c>
    </row>
    <row r="54" spans="1:6" ht="76.5" x14ac:dyDescent="0.2">
      <c r="A54" s="120" t="s">
        <v>407</v>
      </c>
      <c r="B54" s="120" t="s">
        <v>274</v>
      </c>
      <c r="C54" s="120" t="s">
        <v>320</v>
      </c>
      <c r="D54" s="121" t="s">
        <v>408</v>
      </c>
      <c r="E54" s="108" t="s">
        <v>104</v>
      </c>
      <c r="F54" s="108" t="s">
        <v>104</v>
      </c>
    </row>
    <row r="55" spans="1:6" ht="63.75" x14ac:dyDescent="0.2">
      <c r="A55" s="114">
        <v>20</v>
      </c>
      <c r="B55" s="114" t="s">
        <v>56</v>
      </c>
      <c r="C55" s="114" t="s">
        <v>56</v>
      </c>
      <c r="D55" s="115" t="s">
        <v>374</v>
      </c>
      <c r="E55" s="110" t="s">
        <v>104</v>
      </c>
      <c r="F55" s="110" t="s">
        <v>104</v>
      </c>
    </row>
    <row r="56" spans="1:6" x14ac:dyDescent="0.2">
      <c r="E56" s="113">
        <f>SUM(Tabel1[Max skoor])</f>
        <v>92</v>
      </c>
      <c r="F56" s="113">
        <f>SUM(Tabel1[Hindamise skoor])</f>
        <v>66</v>
      </c>
    </row>
    <row r="57" spans="1:6" ht="19.5" thickBot="1" x14ac:dyDescent="0.4">
      <c r="A57" s="133" t="s">
        <v>89</v>
      </c>
      <c r="B57" s="1"/>
      <c r="C57" s="1"/>
      <c r="D57" s="1"/>
    </row>
    <row r="58" spans="1:6" ht="13.5" thickTop="1" x14ac:dyDescent="0.2">
      <c r="D58" s="113"/>
    </row>
    <row r="59" spans="1:6" x14ac:dyDescent="0.2">
      <c r="A59" s="134"/>
      <c r="B59" s="135" t="s">
        <v>424</v>
      </c>
      <c r="C59" s="135" t="s">
        <v>425</v>
      </c>
      <c r="D59" s="136" t="s">
        <v>459</v>
      </c>
    </row>
    <row r="60" spans="1:6" x14ac:dyDescent="0.2">
      <c r="A60" s="137" t="s">
        <v>460</v>
      </c>
      <c r="B60" s="137">
        <f>SUM(Tabel1[Max skoor])</f>
        <v>92</v>
      </c>
      <c r="C60" s="137">
        <f>SUM(Tabel1[Hindamise skoor])</f>
        <v>66</v>
      </c>
      <c r="D60" s="150">
        <f>IFERROR(C60/B60,"ei kohaldu")</f>
        <v>0.71739130434782605</v>
      </c>
    </row>
    <row r="61" spans="1:6" x14ac:dyDescent="0.2">
      <c r="A61" s="138" t="s">
        <v>427</v>
      </c>
      <c r="B61" s="139">
        <f>SUM(E2)</f>
        <v>3</v>
      </c>
      <c r="C61" s="139">
        <f>SUM(F2)</f>
        <v>3</v>
      </c>
      <c r="D61" s="148">
        <f t="shared" ref="D61:D74" si="2">IFERROR(C61/B61,"ei kohaldu")</f>
        <v>1</v>
      </c>
    </row>
    <row r="62" spans="1:6" x14ac:dyDescent="0.2">
      <c r="A62" s="138" t="s">
        <v>448</v>
      </c>
      <c r="B62" s="139">
        <f>SUM(E3:E8)</f>
        <v>12</v>
      </c>
      <c r="C62" s="139">
        <f>SUM(F3:F8)</f>
        <v>7</v>
      </c>
      <c r="D62" s="148">
        <f t="shared" si="2"/>
        <v>0.58333333333333337</v>
      </c>
    </row>
    <row r="63" spans="1:6" x14ac:dyDescent="0.2">
      <c r="A63" s="138" t="s">
        <v>449</v>
      </c>
      <c r="B63" s="139">
        <f>SUM(E9:E12)</f>
        <v>9</v>
      </c>
      <c r="C63" s="139">
        <f>SUM(F9:F12)</f>
        <v>8</v>
      </c>
      <c r="D63" s="148">
        <f t="shared" si="2"/>
        <v>0.88888888888888884</v>
      </c>
    </row>
    <row r="64" spans="1:6" x14ac:dyDescent="0.2">
      <c r="A64" s="138" t="s">
        <v>450</v>
      </c>
      <c r="B64" s="139">
        <f>SUM(E13:E16)</f>
        <v>9</v>
      </c>
      <c r="C64" s="139">
        <f>SUM(F13:F16)</f>
        <v>9</v>
      </c>
      <c r="D64" s="148">
        <f t="shared" si="2"/>
        <v>1</v>
      </c>
    </row>
    <row r="65" spans="1:4" x14ac:dyDescent="0.2">
      <c r="A65" s="138" t="s">
        <v>451</v>
      </c>
      <c r="B65" s="139">
        <f>SUM(E17:E20)</f>
        <v>9</v>
      </c>
      <c r="C65" s="139">
        <f>SUM(F17:F20)</f>
        <v>7</v>
      </c>
      <c r="D65" s="148">
        <f t="shared" si="2"/>
        <v>0.77777777777777779</v>
      </c>
    </row>
    <row r="66" spans="1:4" x14ac:dyDescent="0.2">
      <c r="A66" s="138" t="s">
        <v>452</v>
      </c>
      <c r="B66" s="139">
        <f>SUM(E21:E24)</f>
        <v>9</v>
      </c>
      <c r="C66" s="139">
        <f>SUM(F21:F24)</f>
        <v>4</v>
      </c>
      <c r="D66" s="148">
        <f t="shared" si="2"/>
        <v>0.44444444444444442</v>
      </c>
    </row>
    <row r="67" spans="1:4" x14ac:dyDescent="0.2">
      <c r="A67" s="138" t="s">
        <v>453</v>
      </c>
      <c r="B67" s="139">
        <f>SUM(E25:E28)</f>
        <v>6</v>
      </c>
      <c r="C67" s="139">
        <f>SUM(F25:F28)</f>
        <v>6</v>
      </c>
      <c r="D67" s="148">
        <f t="shared" si="2"/>
        <v>1</v>
      </c>
    </row>
    <row r="68" spans="1:4" x14ac:dyDescent="0.2">
      <c r="A68" s="138" t="s">
        <v>454</v>
      </c>
      <c r="B68" s="139">
        <f>SUM(E29:E38)</f>
        <v>18</v>
      </c>
      <c r="C68" s="139">
        <f>SUM(F29:F38)</f>
        <v>9</v>
      </c>
      <c r="D68" s="148">
        <f t="shared" si="2"/>
        <v>0.5</v>
      </c>
    </row>
    <row r="69" spans="1:4" x14ac:dyDescent="0.2">
      <c r="A69" s="138" t="s">
        <v>455</v>
      </c>
      <c r="B69" s="139">
        <f>SUM(E39:E54)</f>
        <v>17</v>
      </c>
      <c r="C69" s="139">
        <f>SUM(F39:F54)</f>
        <v>13</v>
      </c>
      <c r="D69" s="148">
        <f t="shared" si="2"/>
        <v>0.76470588235294112</v>
      </c>
    </row>
    <row r="70" spans="1:4" x14ac:dyDescent="0.2">
      <c r="D70" s="149"/>
    </row>
    <row r="71" spans="1:4" x14ac:dyDescent="0.2">
      <c r="A71" s="137" t="s">
        <v>427</v>
      </c>
      <c r="B71" s="139">
        <f>SUM(E12)</f>
        <v>3</v>
      </c>
      <c r="C71" s="139">
        <f>SUM(F2)</f>
        <v>3</v>
      </c>
      <c r="D71" s="148">
        <f t="shared" si="2"/>
        <v>1</v>
      </c>
    </row>
    <row r="72" spans="1:4" x14ac:dyDescent="0.2">
      <c r="A72" s="137" t="s">
        <v>428</v>
      </c>
      <c r="B72" s="139">
        <f>SUM(E3:E20)</f>
        <v>39</v>
      </c>
      <c r="C72" s="139">
        <f>SUM(F3:F20)</f>
        <v>31</v>
      </c>
      <c r="D72" s="148">
        <f t="shared" si="2"/>
        <v>0.79487179487179482</v>
      </c>
    </row>
    <row r="73" spans="1:4" x14ac:dyDescent="0.2">
      <c r="A73" s="137" t="s">
        <v>446</v>
      </c>
      <c r="B73" s="139">
        <f>SUM(E21:E28)</f>
        <v>15</v>
      </c>
      <c r="C73" s="139">
        <f>SUM(F21:F28)</f>
        <v>10</v>
      </c>
      <c r="D73" s="148">
        <f t="shared" si="2"/>
        <v>0.66666666666666663</v>
      </c>
    </row>
    <row r="74" spans="1:4" x14ac:dyDescent="0.2">
      <c r="A74" s="137" t="s">
        <v>447</v>
      </c>
      <c r="B74" s="139">
        <f>SUM(E29:E54)</f>
        <v>35</v>
      </c>
      <c r="C74" s="139">
        <f>SUM(F29:F54)</f>
        <v>22</v>
      </c>
      <c r="D74" s="148">
        <f t="shared" si="2"/>
        <v>0.62857142857142856</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38" zoomScale="60" zoomScaleNormal="60" workbookViewId="0">
      <selection activeCell="E42" sqref="E42"/>
    </sheetView>
  </sheetViews>
  <sheetFormatPr defaultColWidth="9.140625" defaultRowHeight="12.75" x14ac:dyDescent="0.25"/>
  <cols>
    <col min="1" max="1" width="25.7109375" style="142" customWidth="1"/>
    <col min="2" max="2" width="26.42578125" style="142" customWidth="1"/>
    <col min="3" max="3" width="25.7109375" style="142" customWidth="1"/>
    <col min="4" max="4" width="71.7109375" style="142" customWidth="1"/>
    <col min="5" max="5" width="91.7109375" style="142" customWidth="1"/>
    <col min="6" max="6" width="36.7109375" style="142" customWidth="1"/>
    <col min="7" max="7" width="77.7109375" style="142" customWidth="1"/>
    <col min="8" max="16384" width="9.140625" style="142"/>
  </cols>
  <sheetData>
    <row r="1" spans="1:7" ht="62.25" customHeight="1" thickBot="1" x14ac:dyDescent="0.6">
      <c r="A1" s="141"/>
      <c r="B1" s="252" t="s">
        <v>430</v>
      </c>
      <c r="C1" s="252"/>
      <c r="D1" s="141"/>
      <c r="E1" s="141"/>
      <c r="F1" s="141"/>
      <c r="G1" s="141"/>
    </row>
    <row r="2" spans="1:7" ht="31.5" thickTop="1" x14ac:dyDescent="0.55000000000000004">
      <c r="A2" s="140"/>
      <c r="B2" s="143" t="s">
        <v>431</v>
      </c>
      <c r="C2" s="143"/>
      <c r="D2" s="143"/>
      <c r="E2" s="143" t="s">
        <v>431</v>
      </c>
      <c r="F2" s="143"/>
      <c r="G2" s="143"/>
    </row>
    <row r="3" spans="1:7" ht="77.25" x14ac:dyDescent="0.4">
      <c r="A3" s="144" t="s">
        <v>423</v>
      </c>
      <c r="B3" s="145" t="s">
        <v>82</v>
      </c>
      <c r="C3" s="145" t="s">
        <v>83</v>
      </c>
      <c r="D3" s="146" t="s">
        <v>58</v>
      </c>
      <c r="E3" s="146" t="s">
        <v>59</v>
      </c>
      <c r="F3" s="146" t="s">
        <v>90</v>
      </c>
      <c r="G3" s="147" t="s">
        <v>376</v>
      </c>
    </row>
    <row r="4" spans="1:7" ht="77.25" x14ac:dyDescent="0.4">
      <c r="A4" s="151">
        <v>0</v>
      </c>
      <c r="B4" s="152" t="s">
        <v>91</v>
      </c>
      <c r="C4" s="152" t="s">
        <v>91</v>
      </c>
      <c r="D4" s="167" t="s">
        <v>92</v>
      </c>
      <c r="E4" s="153"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3" t="str">
        <f>_xlfn.TEXTJOIN("; ",TRUE,Hindamistabel!K2:K9)</f>
        <v>EELIS</v>
      </c>
      <c r="G4" s="154" t="str">
        <f>_xlfn.TEXTJOIN("; ",TRUE,Hindamistabel!L2:L9)</f>
        <v>Tellise looduskaitseala kaitsekorralduskava 2017-2026; Pärandniitude tegevuskava</v>
      </c>
    </row>
    <row r="5" spans="1:7" ht="105" x14ac:dyDescent="0.4">
      <c r="A5" s="155" t="s">
        <v>107</v>
      </c>
      <c r="B5" s="156" t="s">
        <v>105</v>
      </c>
      <c r="C5" s="156" t="s">
        <v>106</v>
      </c>
      <c r="D5" s="168" t="s">
        <v>419</v>
      </c>
      <c r="E5" s="157"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Pole asjakohane (liigid ei ole kaitse-eesmärgiks)</v>
      </c>
      <c r="F5" s="157" t="str">
        <f>_xlfn.TEXTJOIN("; ",TRUE,Hindamistabel!K10:K14)</f>
        <v>RT, KKK</v>
      </c>
      <c r="G5" s="158" t="str">
        <f>_xlfn.TEXTJOIN("; ",TRUE,Hindamistabel!L10:L14)</f>
        <v>LKA kaitseväärtusena kaitse-eeskiri ühtegi liiki ei nimeta; loodusala kaitseväärtuseks on saarmas; KKK-s on põhjalikumalt käsitletud kahte liiki: saarmast ja paksu jõekarpi; kummagi liigi kohta täpsem info aga puudub</v>
      </c>
    </row>
    <row r="6" spans="1:7" ht="131.25" x14ac:dyDescent="0.4">
      <c r="A6" s="155" t="s">
        <v>115</v>
      </c>
      <c r="B6" s="156" t="s">
        <v>105</v>
      </c>
      <c r="C6" s="156" t="s">
        <v>106</v>
      </c>
      <c r="D6" s="168" t="s">
        <v>420</v>
      </c>
      <c r="E6" s="157"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50-90% väärtustest</v>
      </c>
      <c r="F6" s="157" t="str">
        <f>_xlfn.TEXTJOIN("; ",TRUE,Hindamistabel!K15:K19)</f>
        <v>RT, KKK, EELIS</v>
      </c>
      <c r="G6" s="158" t="str">
        <f>_xlfn.TEXTJOIN("; ",TRUE,Hindamistabel!L15:L19)</f>
        <v>2002. a kirjeldatud tüüpi 9020* pole hiljem tuvastatud, teised kaitseväärtuseks olevad tüübid (9050 ja 9080*) on kirjeldatud suuremas osas viimati 2012. a ning tüüp 6450 on tuvastatud valdavalt 1997.a, kuid tüübi kirjeldus on puudulik</v>
      </c>
    </row>
    <row r="7" spans="1:7" ht="52.5" x14ac:dyDescent="0.4">
      <c r="A7" s="155" t="s">
        <v>119</v>
      </c>
      <c r="B7" s="156" t="s">
        <v>105</v>
      </c>
      <c r="C7" s="156" t="s">
        <v>106</v>
      </c>
      <c r="D7" s="168" t="s">
        <v>120</v>
      </c>
      <c r="E7" s="157"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57" t="str">
        <f>_xlfn.TEXTJOIN("; ",TRUE,Hindamistabel!K20:K24)</f>
        <v/>
      </c>
      <c r="G7" s="158" t="str">
        <f>_xlfn.TEXTJOIN("; ",TRUE,Hindamistabel!L20:L24)</f>
        <v/>
      </c>
    </row>
    <row r="8" spans="1:7" ht="78.75" x14ac:dyDescent="0.4">
      <c r="A8" s="155" t="s">
        <v>127</v>
      </c>
      <c r="B8" s="156" t="s">
        <v>105</v>
      </c>
      <c r="C8" s="156" t="s">
        <v>106</v>
      </c>
      <c r="D8" s="168" t="s">
        <v>128</v>
      </c>
      <c r="E8" s="157"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Kesine - &lt;50% seisundi hinnangutest põhineb ajakohastel kvantitatiivsetel andmetel (uuringud, seired, inventuurid, vaatlused)</v>
      </c>
      <c r="F8" s="157" t="str">
        <f>_xlfn.TEXTJOIN("; ",TRUE,Hindamistabel!K25:K29)</f>
        <v>EELIS, KKK</v>
      </c>
      <c r="G8" s="158" t="str">
        <f>_xlfn.TEXTJOIN("; ",TRUE,Hindamistabel!L25:L29)</f>
        <v>vaid 2,1 ha (0,9% kaitseala ja 1,4% elupaigatüüpide pindalast) elupaigatüüpide kohta on EELIS-es inventuuri kuupäev (valdavalt 30.07.2021) olemas; esinduslikkus on määratud 113,3 ha (47,6% kaitsealast ja 76,1% elupaigatüüpidest)</v>
      </c>
    </row>
    <row r="9" spans="1:7" ht="183.75" x14ac:dyDescent="0.4">
      <c r="A9" s="155" t="s">
        <v>131</v>
      </c>
      <c r="B9" s="156" t="s">
        <v>105</v>
      </c>
      <c r="C9" s="156" t="s">
        <v>106</v>
      </c>
      <c r="D9" s="168" t="s">
        <v>132</v>
      </c>
      <c r="E9" s="157"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57" t="str">
        <f>_xlfn.TEXTJOIN("; ",TRUE,Hindamistabel!K30:K33)</f>
        <v>KKK</v>
      </c>
      <c r="G9" s="158" t="str">
        <f>_xlfn.TEXTJOIN("; ",TRUE,Hindamistabel!L30:L33)</f>
        <v>uuringute vajadusena on nimetatud vaid erinevate liikide uuringuid, mitte elupaigatüüpide uuringuid; tegevusena on ette nähtud ka elupaigatüüpide kordusinventuurid</v>
      </c>
    </row>
    <row r="10" spans="1:7" ht="52.5" x14ac:dyDescent="0.4">
      <c r="A10" s="155" t="s">
        <v>138</v>
      </c>
      <c r="B10" s="156" t="s">
        <v>105</v>
      </c>
      <c r="C10" s="156" t="s">
        <v>106</v>
      </c>
      <c r="D10" s="168" t="s">
        <v>139</v>
      </c>
      <c r="E10" s="157"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57" t="str">
        <f>_xlfn.TEXTJOIN("; ",TRUE,Hindamistabel!K34:K37)</f>
        <v>EELIS, KKK,MaRu</v>
      </c>
      <c r="G10" s="158" t="str">
        <f>_xlfn.TEXTJOIN("; ",TRUE,Hindamistabel!L34:L37)</f>
        <v xml:space="preserve">paksu jõekarbi inventuur oli kavandatud aastaks 2018 ning elupaigatüüpide inventuurid aastateks 2025 ja 2026; paksu jõekarbi leiukohta on viimati vaadeldud 2023. a (enne seda 2014. a); niiduelupaiku on osaliselt (2,1 ha ulatuses, mis on 7,3% kavandatust) inventeeritud 2021. a; KKK-s kavandatud inventuurid ei kajastu (13.11.2025) inventuuride virtuaalkontoris </v>
      </c>
    </row>
    <row r="11" spans="1:7" ht="105" x14ac:dyDescent="0.4">
      <c r="A11" s="155" t="s">
        <v>147</v>
      </c>
      <c r="B11" s="156" t="s">
        <v>105</v>
      </c>
      <c r="C11" s="156" t="s">
        <v>146</v>
      </c>
      <c r="D11" s="168" t="s">
        <v>148</v>
      </c>
      <c r="E11" s="157"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57" t="str">
        <f>_xlfn.TEXTJOIN("; ",TRUE,Hindamistabel!K38:K42)</f>
        <v>KKK</v>
      </c>
      <c r="G11" s="158" t="str">
        <f>_xlfn.TEXTJOIN("; ",TRUE,Hindamistabel!L38:L42)</f>
        <v>kõigi survetegurite leevendamiseks ei ole meetmeid määratud, ka siis, kui see oleks asjakohane (nt saarma ja tüübi 9010* puhul)</v>
      </c>
    </row>
    <row r="12" spans="1:7" ht="52.5" x14ac:dyDescent="0.4">
      <c r="A12" s="155" t="s">
        <v>154</v>
      </c>
      <c r="B12" s="156" t="s">
        <v>105</v>
      </c>
      <c r="C12" s="156" t="s">
        <v>146</v>
      </c>
      <c r="D12" s="168" t="s">
        <v>432</v>
      </c>
      <c r="E12" s="157"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57" t="str">
        <f>_xlfn.TEXTJOIN("; ",TRUE,Hindamistabel!K43:K46)</f>
        <v>KKK</v>
      </c>
      <c r="G12" s="158" t="str">
        <f>_xlfn.TEXTJOIN("; ",TRUE,Hindamistabel!L43:L46)</f>
        <v>kehtib praeguste kaitseväärtuste, mitte uute kohta</v>
      </c>
    </row>
    <row r="13" spans="1:7" ht="52.5" x14ac:dyDescent="0.4">
      <c r="A13" s="155" t="s">
        <v>161</v>
      </c>
      <c r="B13" s="156" t="s">
        <v>105</v>
      </c>
      <c r="C13" s="156" t="s">
        <v>146</v>
      </c>
      <c r="D13" s="168" t="s">
        <v>162</v>
      </c>
      <c r="E13" s="157" t="str" cm="1">
        <f t="array" ref="E13">_xlfn.TEXTJOIN("; ",TRUE,IF(Hindamistabel!J47:J51="muu",Hindamistabel!L47:L51,IF(Hindamistabel!J47:J51&lt;&gt;"",Hindamistabel!J47:J51,"")))</f>
        <v>rohumaade hülgamine; metsamaade kuivendamine; elusorganismide kasutus; militaartegevused ja muud inimsekkumised; looduslikud protsessid</v>
      </c>
      <c r="F13" s="157" t="str">
        <f>_xlfn.TEXTJOIN("; ",TRUE,Hindamistabel!K47:K51)</f>
        <v>KKK; Loodusdirektiivi metsaelupaikade inventeerimise juhend ; KKK; KKK; KKK</v>
      </c>
      <c r="G13" s="158" t="str">
        <f>_xlfn.TEXTJOIN("; ",TRUE,Hindamistabel!L47:L51)</f>
        <v>lamminiidud (6450); soostuvad ja soo-lehtmetsad (9080*); koprajahil kasutatavad Coniber-tüüpi rauad ohustavad ka saarmast; prügistamine (selle vähendamiseks näeb KKK ette teetõkke hooldamise); kopratammid võivad ohustada Mustvee jõe saarmast ja paksu jõekarpi</v>
      </c>
    </row>
    <row r="14" spans="1:7" ht="78.75" x14ac:dyDescent="0.4">
      <c r="A14" s="155">
        <v>4</v>
      </c>
      <c r="B14" s="156" t="s">
        <v>105</v>
      </c>
      <c r="C14" s="156" t="s">
        <v>146</v>
      </c>
      <c r="D14" s="168" t="s">
        <v>166</v>
      </c>
      <c r="E14" s="157"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osaliselt.</v>
      </c>
      <c r="F14" s="157" t="str">
        <f>_xlfn.TEXTJOIN("; ",TRUE,Hindamistabel!K52:K54)</f>
        <v>KKK</v>
      </c>
      <c r="G14" s="158" t="str">
        <f>_xlfn.TEXTJOIN("; ",TRUE,Hindamistabel!L52:L54)</f>
        <v>kaitseala läbib Mustvee jõgi, mis on koduks saarmale ja paksule jõekarbile; jõe kaldal toimuv jaht (nii kaitsealal kui ka) väljaspool kaitseala või kopratammid võivad ohustada ka neid kaitsealuseid liike</v>
      </c>
    </row>
    <row r="15" spans="1:7" ht="78.75" x14ac:dyDescent="0.4">
      <c r="A15" s="155" t="s">
        <v>172</v>
      </c>
      <c r="B15" s="156" t="s">
        <v>105</v>
      </c>
      <c r="C15" s="156" t="s">
        <v>171</v>
      </c>
      <c r="D15" s="168" t="s">
        <v>173</v>
      </c>
      <c r="E15" s="157"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57" t="str">
        <f>_xlfn.TEXTJOIN("; ",TRUE,Hindamistabel!K55:K59)</f>
        <v>RT, KKK</v>
      </c>
      <c r="G15" s="158" t="str">
        <f>_xlfn.TEXTJOIN("; ",TRUE,Hindamistabel!L55:L59)</f>
        <v>kaitse-eeskirja järgi on kaitseala kaitseväärtuseks vaid lamminiidud (6450), rohunditerikkad kuusikud (9050), vanad laialehised salumetsad (9020*) ning soostuvad ja soo-lehtmetsad (9080*); kaitse-eesmärgid on seatud ka muudele elurikkusega seotud loodusväärtustele (mis veel ei ole kaitseväärtusteks nimetatud)</v>
      </c>
    </row>
    <row r="16" spans="1:7" ht="78.75" x14ac:dyDescent="0.4">
      <c r="A16" s="155" t="s">
        <v>181</v>
      </c>
      <c r="B16" s="156" t="s">
        <v>105</v>
      </c>
      <c r="C16" s="156" t="s">
        <v>171</v>
      </c>
      <c r="D16" s="168" t="s">
        <v>182</v>
      </c>
      <c r="E16" s="157"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57" t="str">
        <f>_xlfn.TEXTJOIN("; ",TRUE,Hindamistabel!K60:K63)</f>
        <v>KKK</v>
      </c>
      <c r="G16" s="158" t="str">
        <f>_xlfn.TEXTJOIN("; ",TRUE,Hindamistabel!L60:L63)</f>
        <v>sh ka kaitseväärtuseks mitteolevatele loodusväärtustele on soovitud seisund määratletud</v>
      </c>
    </row>
    <row r="17" spans="1:7" ht="105" x14ac:dyDescent="0.4">
      <c r="A17" s="155" t="s">
        <v>188</v>
      </c>
      <c r="B17" s="156" t="s">
        <v>105</v>
      </c>
      <c r="C17" s="156" t="s">
        <v>171</v>
      </c>
      <c r="D17" s="168" t="s">
        <v>189</v>
      </c>
      <c r="E17" s="157" t="str">
        <f>IF(Hindamistabel!J64=TRUE,"Ei ole asjakohane (alal puuduvad vastavad kaitseväärtused)",IF(Hindamistabel!J65=TRUE,"Ei",IF(Hindamistabel!J66=TRUE,"Jah","")))</f>
        <v>Ei ole asjakohane (alal puuduvad vastavad kaitseväärtused)</v>
      </c>
      <c r="F17" s="157" t="str">
        <f>_xlfn.TEXTJOIN("; ",TRUE,Hindamistabel!K64:K66)</f>
        <v>RT, KKK</v>
      </c>
      <c r="G17" s="158" t="str">
        <f>_xlfn.TEXTJOIN("; ",TRUE,Hindamistabel!L64:L66)</f>
        <v>selliseid kaitseväärtusi pole</v>
      </c>
    </row>
    <row r="18" spans="1:7" ht="105" x14ac:dyDescent="0.4">
      <c r="A18" s="155" t="s">
        <v>194</v>
      </c>
      <c r="B18" s="156" t="s">
        <v>105</v>
      </c>
      <c r="C18" s="156" t="s">
        <v>171</v>
      </c>
      <c r="D18" s="168" t="s">
        <v>195</v>
      </c>
      <c r="E18" s="157" t="str">
        <f>IF(Hindamistabel!J67=TRUE,"Ei ole asjakohane (alal puuduvad vastavad kaitseväärtused)",IF(Hindamistabel!J68=TRUE,"Ei",IF(Hindamistabel!J69=TRUE,"Jah","")))</f>
        <v>Jah</v>
      </c>
      <c r="F18" s="157" t="str">
        <f>_xlfn.TEXTJOIN("; ",TRUE,Hindamistabel!K67:K69)</f>
        <v>RT, KKK</v>
      </c>
      <c r="G18" s="158" t="str">
        <f>_xlfn.TEXTJOIN("; ",TRUE,Hindamistabel!L67:L69)</f>
        <v>saarmas, paks jõekarp, vanad loodusmetsad (9010*)</v>
      </c>
    </row>
    <row r="19" spans="1:7" ht="105" x14ac:dyDescent="0.4">
      <c r="A19" s="155" t="s">
        <v>198</v>
      </c>
      <c r="B19" s="156" t="s">
        <v>105</v>
      </c>
      <c r="C19" s="156" t="s">
        <v>197</v>
      </c>
      <c r="D19" s="168" t="s">
        <v>199</v>
      </c>
      <c r="E19" s="157" t="str">
        <f>IF(Hindamistabel!J70=TRUE,"Jah, täiendav sekkumine on vajalik",IF(Hindamistabel!J71=TRUE,"Ei, täiendav sekkumine ei ole vajalik",""))</f>
        <v>Jah, täiendav sekkumine on vajalik</v>
      </c>
      <c r="F19" s="157" t="str">
        <f>_xlfn.TEXTJOIN("; ",TRUE,Hindamistabel!K70:K71)</f>
        <v>KKK</v>
      </c>
      <c r="G19" s="158" t="str">
        <f>_xlfn.TEXTJOIN("; ",TRUE,Hindamistabel!L70:L71)</f>
        <v>luhtade hooldamine (27,5 ha + 1,4 ha) ja taastamine (1,4 ha), teetõkke hooldamine (prügistamise vähendamiseks), juurdepääsutee hooldamine (luhtadele pääsemiseks)</v>
      </c>
    </row>
    <row r="20" spans="1:7" ht="105" x14ac:dyDescent="0.4">
      <c r="A20" s="155" t="s">
        <v>203</v>
      </c>
      <c r="B20" s="156" t="s">
        <v>105</v>
      </c>
      <c r="C20" s="156" t="s">
        <v>197</v>
      </c>
      <c r="D20" s="168" t="s">
        <v>204</v>
      </c>
      <c r="E20" s="157"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57" t="str">
        <f>_xlfn.TEXTJOIN("; ",TRUE,Hindamistabel!K72:K75)</f>
        <v>KKK</v>
      </c>
      <c r="G20" s="158" t="str">
        <f>_xlfn.TEXTJOIN("; ",TRUE,Hindamistabel!L72:L75)</f>
        <v>KKK-s on mainitud, et eelmisel kaitsekorraldusperioodil rajati kuivenduskraavidele voolutakistusi ja et praeguseks ei ole need tõkked enam märgatavad, kuid pole öeldud, kas looduslikuma veerežiimi taastamine on vajalik või mitte, kuigi K-E § 6 lg 2 nimetab vajaliku tegevusena loodusliku veerežiimi taastamist</v>
      </c>
    </row>
    <row r="21" spans="1:7" ht="78.75" x14ac:dyDescent="0.4">
      <c r="A21" s="155" t="s">
        <v>210</v>
      </c>
      <c r="B21" s="156" t="s">
        <v>105</v>
      </c>
      <c r="C21" s="156" t="s">
        <v>197</v>
      </c>
      <c r="D21" s="168" t="s">
        <v>211</v>
      </c>
      <c r="E21" s="157"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57" t="str">
        <f>_xlfn.TEXTJOIN("; ",TRUE,Hindamistabel!K76:K79)</f>
        <v>KKK</v>
      </c>
      <c r="G21" s="158" t="str">
        <f>_xlfn.TEXTJOIN("; ",TRUE,Hindamistabel!L76:L79)</f>
        <v>tehakse ettepanek kaaluda kaitseala laiendamist u 20 ha luhtade võrra</v>
      </c>
    </row>
    <row r="22" spans="1:7" ht="105" x14ac:dyDescent="0.4">
      <c r="A22" s="155" t="s">
        <v>216</v>
      </c>
      <c r="B22" s="156" t="s">
        <v>105</v>
      </c>
      <c r="C22" s="156" t="s">
        <v>197</v>
      </c>
      <c r="D22" s="168" t="s">
        <v>217</v>
      </c>
      <c r="E22" s="157"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Pooltel või enamal (50% - &lt;100%) peamistest surveteguritest on vastav meede</v>
      </c>
      <c r="F22" s="157" t="str">
        <f>_xlfn.TEXTJOIN("; ",TRUE,Hindamistabel!K80:K83)</f>
        <v>KKK</v>
      </c>
      <c r="G22" s="158" t="str">
        <f>_xlfn.TEXTJOIN("; ",TRUE,Hindamistabel!L80:L83)</f>
        <v>kuivendamist pole tüübi 9080* puhul survetegurina mainitudki; saarmast ohustavat raudade kasutamist on mainitud, kuid meedet ei ole (saarmas on LoA kaitseväärtuseks, kaitseala kaitseväärtuseks ei ole), kopratammid ohustavad nii saarmast kui ka paksu jõekarpi (LoD II lisa ja II kat. kaitsealune liik, kuid pole LoA ega kaitseala kaitseväärtuseks), kuid meedet ei ole; meetmed on luha lagedana hoidmiseks ning metsa prügistamise vähendamiseks</v>
      </c>
    </row>
    <row r="23" spans="1:7" ht="105" x14ac:dyDescent="0.4">
      <c r="A23" s="159">
        <v>7</v>
      </c>
      <c r="B23" s="152" t="s">
        <v>223</v>
      </c>
      <c r="C23" s="152" t="s">
        <v>224</v>
      </c>
      <c r="D23" s="167" t="s">
        <v>433</v>
      </c>
      <c r="E23" s="153"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3" t="str">
        <f>_xlfn.TEXTJOIN("; ",TRUE,Hindamistabel!K84:K85)</f>
        <v>RT, KKK</v>
      </c>
      <c r="G23" s="154" t="str">
        <f>_xlfn.TEXTJOIN("; ",TRUE,Hindamistabel!L84:L85)</f>
        <v>K-E näeb vajaliku tegevusena ette loodusliku veerežiimi taastamise, kuid KKK-s jääb selgusetuks, kas see on vajalik või mitte; KKK ei tee ettepanekut isegi mitte kaaluda saarma, kes on LoA kaitseväärtuseks, kaitseala kaitseväärtuseks nimetamiseks (1 paar saarmaid tuvastati kaitsealal 2025. a)</v>
      </c>
    </row>
    <row r="24" spans="1:7" ht="157.5" x14ac:dyDescent="0.4">
      <c r="A24" s="159" t="s">
        <v>229</v>
      </c>
      <c r="B24" s="152" t="s">
        <v>223</v>
      </c>
      <c r="C24" s="152" t="s">
        <v>224</v>
      </c>
      <c r="D24" s="167" t="s">
        <v>230</v>
      </c>
      <c r="E24" s="153"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3" t="str">
        <f>_xlfn.TEXTJOIN("; ",TRUE,Hindamistabel!K86:K90)</f>
        <v>EELIS, MaRu, KKK</v>
      </c>
      <c r="G24" s="154" t="str">
        <f>_xlfn.TEXTJOIN("; ",TRUE,Hindamistabel!L86:L90)</f>
        <v>luha taastamisi kokku 1,4 ha ei ole tehtud; luhta on hooldatud 2017. a 0 ha; 2018.-2020. a 24,45 ha; 2021.-2024. a 20,25 ha (eesmärk on 28,9 ha); ortofotol ei nähtu raieid metsas (SKV ja riigimaa); elupaikade inventuurid on kavandatud aastatesse 2025 ja 2026</v>
      </c>
    </row>
    <row r="25" spans="1:7" ht="105" x14ac:dyDescent="0.4">
      <c r="A25" s="159" t="s">
        <v>237</v>
      </c>
      <c r="B25" s="152" t="s">
        <v>223</v>
      </c>
      <c r="C25" s="152" t="s">
        <v>224</v>
      </c>
      <c r="D25" s="167" t="s">
        <v>434</v>
      </c>
      <c r="E25" s="160" t="str">
        <f>IF(Hindamistabel!J91&lt;&gt;"",Hindamistabel!J91,"")</f>
        <v>teha ära KKK-s ettenähtud inventuurid</v>
      </c>
      <c r="F25" s="153" t="str">
        <f>_xlfn.TEXTJOIN("; ",TRUE,Hindamistabel!K91:K91)</f>
        <v>KKK</v>
      </c>
      <c r="G25" s="154" t="str">
        <f>_xlfn.TEXTJOIN("; ",TRUE,Hindamistabel!L91:L91)</f>
        <v>elupaikade inventuurid on kavandatud aastatesse 2025 ja 2026, inventuuride virtuaalkontoris need praegu (13.11.2025) ei kajastu</v>
      </c>
    </row>
    <row r="26" spans="1:7" ht="78.75" x14ac:dyDescent="0.4">
      <c r="A26" s="159">
        <v>9</v>
      </c>
      <c r="B26" s="152" t="s">
        <v>223</v>
      </c>
      <c r="C26" s="152" t="s">
        <v>224</v>
      </c>
      <c r="D26" s="167" t="s">
        <v>241</v>
      </c>
      <c r="E26" s="153"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3" t="str">
        <f>_xlfn.TEXTJOIN("; ",TRUE,Hindamistabel!K92:K95)</f>
        <v>RT, EELIS, KKK</v>
      </c>
      <c r="G26" s="154" t="str">
        <f>_xlfn.TEXTJOIN("; ",TRUE,Hindamistabel!L92:L95)</f>
        <v>varasemaid andmeid on kasutatud KKK-de (kinnitatud 2005. ja 2016. a) ning kaitse-eeskirja (kinnitatud 2005. a) koostamisteks, kuid need pole enam päris ajakohased (nt lendorava leid 2019. a, hilisematel aastatel on pesitsusterritoorium kahjuks asustamata olnud)</v>
      </c>
    </row>
    <row r="27" spans="1:7" ht="78.75" x14ac:dyDescent="0.4">
      <c r="A27" s="159" t="s">
        <v>248</v>
      </c>
      <c r="B27" s="152" t="s">
        <v>223</v>
      </c>
      <c r="C27" s="152" t="s">
        <v>247</v>
      </c>
      <c r="D27" s="167" t="s">
        <v>249</v>
      </c>
      <c r="E27" s="153"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3" t="str">
        <f>_xlfn.TEXTJOIN("; ",TRUE,Hindamistabel!K96:K99)</f>
        <v>KKK</v>
      </c>
      <c r="G27" s="154" t="str">
        <f>_xlfn.TEXTJOIN("; ",TRUE,Hindamistabel!L96:L99)</f>
        <v>kaasati maa haldaja RMK, Eesti Maaülikool ja kohalik omavalitsus Torma vald; KKK eelnõu avalikustati valla kodulehel</v>
      </c>
    </row>
    <row r="28" spans="1:7" ht="131.25" x14ac:dyDescent="0.4">
      <c r="A28" s="159" t="s">
        <v>256</v>
      </c>
      <c r="B28" s="152" t="s">
        <v>223</v>
      </c>
      <c r="C28" s="152" t="s">
        <v>247</v>
      </c>
      <c r="D28" s="167" t="s">
        <v>257</v>
      </c>
      <c r="E28" s="153"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3" t="str">
        <f>_xlfn.TEXTJOIN("; ",TRUE,Hindamistabel!K100:K103)</f>
        <v>EELIS, MaRu, KKK</v>
      </c>
      <c r="G28" s="154" t="str">
        <f>_xlfn.TEXTJOIN("; ",TRUE,Hindamistabel!L100:L103)</f>
        <v>luhad on valdavalt hoolduses; külastustaristu vituaalkontori järgi oli 2023. a kaitseala välispiir tähistatud 4 tähisega</v>
      </c>
    </row>
    <row r="29" spans="1:7" ht="105" x14ac:dyDescent="0.4">
      <c r="A29" s="159" t="s">
        <v>260</v>
      </c>
      <c r="B29" s="152" t="s">
        <v>223</v>
      </c>
      <c r="C29" s="152" t="s">
        <v>247</v>
      </c>
      <c r="D29" s="167" t="s">
        <v>261</v>
      </c>
      <c r="E29" s="153" t="str">
        <f>IF(Hindamistabel!J104=TRUE,"Ei oska vastata",IF(Hindamistabel!J105=TRUE,"Jah - tekkis konflikte",IF(Hindamistabel!J106=TRUE,"Ei - konflikte ei tekkinud ","")))</f>
        <v xml:space="preserve">Ei - konflikte ei tekkinud </v>
      </c>
      <c r="F29" s="153" t="str">
        <f>_xlfn.TEXTJOIN("; ",TRUE,Hindamistabel!K104:K106)</f>
        <v>KKK</v>
      </c>
      <c r="G29" s="154" t="str">
        <f>_xlfn.TEXTJOIN("; ",TRUE,Hindamistabel!L104:L106)</f>
        <v>avalikkuse huvi KKK vastu puudus; kaitseala on riigimaal, selle külastatavus on väike</v>
      </c>
    </row>
    <row r="30" spans="1:7" ht="52.5" x14ac:dyDescent="0.4">
      <c r="A30" s="159" t="s">
        <v>266</v>
      </c>
      <c r="B30" s="152" t="s">
        <v>223</v>
      </c>
      <c r="C30" s="152" t="s">
        <v>247</v>
      </c>
      <c r="D30" s="167" t="s">
        <v>435</v>
      </c>
      <c r="E30" s="153"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3" t="str">
        <f>_xlfn.TEXTJOIN("; ",TRUE,Hindamistabel!K107:K113)</f>
        <v/>
      </c>
      <c r="G30" s="154" t="str">
        <f>_xlfn.TEXTJOIN("; ",TRUE,Hindamistabel!L107:L113)</f>
        <v/>
      </c>
    </row>
    <row r="31" spans="1:7" ht="105" x14ac:dyDescent="0.4">
      <c r="A31" s="155" t="s">
        <v>275</v>
      </c>
      <c r="B31" s="156" t="s">
        <v>274</v>
      </c>
      <c r="C31" s="156" t="s">
        <v>197</v>
      </c>
      <c r="D31" s="168" t="s">
        <v>276</v>
      </c>
      <c r="E31" s="157"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Ükski planeeritud taastamistöö ei ole rakendatud</v>
      </c>
      <c r="F31" s="157" t="str">
        <f>_xlfn.TEXTJOIN("; ",TRUE,Hindamistabel!K114:K118)</f>
        <v>EELIS, KKK</v>
      </c>
      <c r="G31" s="158" t="str">
        <f>_xlfn.TEXTJOIN("; ",TRUE,Hindamistabel!L114:L118)</f>
        <v>luha taastamisi (plaanitult kokku 1,4 ha) ei ole tehtud</v>
      </c>
    </row>
    <row r="32" spans="1:7" ht="131.25" x14ac:dyDescent="0.4">
      <c r="A32" s="155" t="s">
        <v>283</v>
      </c>
      <c r="B32" s="156" t="s">
        <v>274</v>
      </c>
      <c r="C32" s="156" t="s">
        <v>197</v>
      </c>
      <c r="D32" s="168" t="s">
        <v>284</v>
      </c>
      <c r="E32" s="157"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57" t="str">
        <f>_xlfn.TEXTJOIN("; ",TRUE,Hindamistabel!K119:K123)</f>
        <v>KKK</v>
      </c>
      <c r="G32" s="158" t="str">
        <f>_xlfn.TEXTJOIN("; ",TRUE,Hindamistabel!L119:L123)</f>
        <v>märgalade ja veekogudega seotud taastamistöid pole ette nähtud</v>
      </c>
    </row>
    <row r="33" spans="1:7" ht="52.5" x14ac:dyDescent="0.4">
      <c r="A33" s="155" t="s">
        <v>286</v>
      </c>
      <c r="B33" s="156" t="s">
        <v>274</v>
      </c>
      <c r="C33" s="156" t="s">
        <v>197</v>
      </c>
      <c r="D33" s="168" t="s">
        <v>287</v>
      </c>
      <c r="E33" s="157"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57" t="str">
        <f>_xlfn.TEXTJOIN("; ",TRUE,Hindamistabel!K124:K128)</f>
        <v>EELIS, KKK</v>
      </c>
      <c r="G33" s="158" t="str">
        <f>_xlfn.TEXTJOIN("; ",TRUE,Hindamistabel!L124:L128)</f>
        <v>luhta on hooldatud 2017. a 0 ha; 2018.-2020. a 24,45 ha; 2021.-2024. a 20,25 ha (70%; eesmärk on 28,9 ha)</v>
      </c>
    </row>
    <row r="34" spans="1:7" ht="52.5" x14ac:dyDescent="0.4">
      <c r="A34" s="155" t="s">
        <v>294</v>
      </c>
      <c r="B34" s="156" t="s">
        <v>274</v>
      </c>
      <c r="C34" s="156" t="s">
        <v>197</v>
      </c>
      <c r="D34" s="168" t="s">
        <v>295</v>
      </c>
      <c r="E34" s="157"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57" t="str">
        <f>_xlfn.TEXTJOIN("; ",TRUE,Hindamistabel!K129:K133)</f>
        <v>KKK</v>
      </c>
      <c r="G34" s="158" t="str">
        <f>_xlfn.TEXTJOIN("; ",TRUE,Hindamistabel!L129:L133)</f>
        <v>liigikaitsetöid KKK ette ei näe</v>
      </c>
    </row>
    <row r="35" spans="1:7" ht="131.25" x14ac:dyDescent="0.4">
      <c r="A35" s="155" t="s">
        <v>301</v>
      </c>
      <c r="B35" s="156" t="s">
        <v>274</v>
      </c>
      <c r="C35" s="156" t="s">
        <v>197</v>
      </c>
      <c r="D35" s="168" t="s">
        <v>302</v>
      </c>
      <c r="E35" s="157"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Kõik või enamik (≥90%) planeeritud meetmetest on ellu viidud. Kõik meetme aspektid on täidetud ja rakendatud.</v>
      </c>
      <c r="F35" s="157" t="str">
        <f>_xlfn.TEXTJOIN("; ",TRUE,Hindamistabel!K134:K138)</f>
        <v>EELIS, KKK</v>
      </c>
      <c r="G35" s="158" t="str">
        <f>_xlfn.TEXTJOIN("; ",TRUE,Hindamistabel!L134:L138)</f>
        <v>ainus KKK-s ettenähtud selline tegevus on luhtadele jurdepääsutee (1,4 km) hooldamine vastavalt vajadusele; kuna enamus luhtadest on hoolduses, siis ilmselt on teed vastavalt vajadusele ka hooldatud või puudub selleks vajadus</v>
      </c>
    </row>
    <row r="36" spans="1:7" ht="78.75" x14ac:dyDescent="0.4">
      <c r="A36" s="155" t="s">
        <v>304</v>
      </c>
      <c r="B36" s="156" t="s">
        <v>274</v>
      </c>
      <c r="C36" s="156" t="s">
        <v>197</v>
      </c>
      <c r="D36" s="168" t="s">
        <v>305</v>
      </c>
      <c r="E36" s="161" t="str">
        <f>IF(Hindamistabel!J139&lt;&gt;"",Hindamistabel!J139,"")</f>
        <v>pärandkoosluste taastamistööd</v>
      </c>
      <c r="F36" s="157" t="str">
        <f>_xlfn.TEXTJOIN("; ",TRUE,Hindamistabel!K139:K139)</f>
        <v>EELIS, KKK</v>
      </c>
      <c r="G36" s="158" t="str">
        <f>_xlfn.TEXTJOIN("; ",TRUE,Hindamistabel!L139:L139)</f>
        <v>ilmselt puudub hooldamise huvi kolme väikese luhaniidu (kokku 1,4 ha) vastu</v>
      </c>
    </row>
    <row r="37" spans="1:7" ht="52.5" x14ac:dyDescent="0.4">
      <c r="A37" s="155" t="s">
        <v>307</v>
      </c>
      <c r="B37" s="156" t="s">
        <v>274</v>
      </c>
      <c r="C37" s="156" t="s">
        <v>197</v>
      </c>
      <c r="D37" s="168" t="s">
        <v>308</v>
      </c>
      <c r="E37" s="157"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57" t="str">
        <f>_xlfn.TEXTJOIN("; ",TRUE,Hindamistabel!K140:K144)</f>
        <v>EELIS, KKK</v>
      </c>
      <c r="G37" s="158" t="str">
        <f>_xlfn.TEXTJOIN("; ",TRUE,Hindamistabel!L140:L144)</f>
        <v>paksu jõekarbi inventuur oli kavandatud aastaks 2018, kuid see on seni tegemata (2023. a pärineb üks juhuvaatlus, mis kinnatab paksu jõekarbi olemasolu); ohustatud taimekoosluste riiklik seire pidi KKK järgi toimuma 2019. ja 2025. a, kuid toimus (Tableau järgi) 2022. a; sellel riiklikul seirel puudub praegu otsene seos kaitseala kaitse korraldamisega (seiratavad liigid ei ole kaitseala kaitseväärtusteks)</v>
      </c>
    </row>
    <row r="38" spans="1:7" ht="105" x14ac:dyDescent="0.4">
      <c r="A38" s="155" t="s">
        <v>310</v>
      </c>
      <c r="B38" s="156" t="s">
        <v>274</v>
      </c>
      <c r="C38" s="156" t="s">
        <v>197</v>
      </c>
      <c r="D38" s="168" t="s">
        <v>311</v>
      </c>
      <c r="E38" s="157"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57" t="str">
        <f>_xlfn.TEXTJOIN("; ",TRUE,Hindamistabel!K145:K149)</f>
        <v>KKK, eksperditeadmine</v>
      </c>
      <c r="G38" s="158" t="str">
        <f>_xlfn.TEXTJOIN("; ",TRUE,Hindamistabel!L145:L149)</f>
        <v>kaitsekorra uuendamine (2020.-2021. a) on seni tegemata, kuid alustatud on üleriigilise kaitstavate alade kaitseväärtuste (kaitse-eesmärkide) ajakohastamisega ja selle raames saarma lisamisega Tellise LKA kaitseväärtuste hulka; KKK vahehindamine (2022. a) on tegemata; KKK uuendamine on KKK järgi ette nähtud 2026. a</v>
      </c>
    </row>
    <row r="39" spans="1:7" ht="105" x14ac:dyDescent="0.4">
      <c r="A39" s="155" t="s">
        <v>313</v>
      </c>
      <c r="B39" s="156" t="s">
        <v>274</v>
      </c>
      <c r="C39" s="156" t="s">
        <v>197</v>
      </c>
      <c r="D39" s="168" t="s">
        <v>314</v>
      </c>
      <c r="E39" s="157"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57" t="str">
        <f>_xlfn.TEXTJOIN("; ",TRUE,Hindamistabel!K150:K154)</f>
        <v>MaRu, KKK</v>
      </c>
      <c r="G39" s="158" t="str">
        <f>_xlfn.TEXTJOIN("; ",TRUE,Hindamistabel!L150:L154)</f>
        <v>külastustaristu virtuaalkontori järgi on ettenähtud 9 tähisest paigaldatud 4 tähist ja teetõkkest on ilmselt loobutud (see ei kajastu kaardirakendusel)</v>
      </c>
    </row>
    <row r="40" spans="1:7" ht="105" x14ac:dyDescent="0.4">
      <c r="A40" s="155" t="s">
        <v>317</v>
      </c>
      <c r="B40" s="156" t="s">
        <v>274</v>
      </c>
      <c r="C40" s="156" t="s">
        <v>197</v>
      </c>
      <c r="D40" s="168" t="s">
        <v>318</v>
      </c>
      <c r="E40" s="161" t="str">
        <f>IF(Hindamistabel!J155&lt;&gt;"",Hindamistabel!J155,"")</f>
        <v>viited sellistele tegevustele puuduvad</v>
      </c>
      <c r="F40" s="157" t="str">
        <f>_xlfn.TEXTJOIN("; ",TRUE,Hindamistabel!K155:K155)</f>
        <v>KeA, RMK</v>
      </c>
      <c r="G40" s="158" t="str">
        <f>_xlfn.TEXTJOIN("; ",TRUE,Hindamistabel!L155:L155)</f>
        <v/>
      </c>
    </row>
    <row r="41" spans="1:7" ht="52.5" x14ac:dyDescent="0.4">
      <c r="A41" s="155" t="s">
        <v>321</v>
      </c>
      <c r="B41" s="156" t="s">
        <v>274</v>
      </c>
      <c r="C41" s="156" t="s">
        <v>320</v>
      </c>
      <c r="D41" s="168" t="s">
        <v>421</v>
      </c>
      <c r="E41" s="157"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Pole asjakohane (liigid ei ole kaitse-eesmärgiks) </v>
      </c>
      <c r="F41" s="157" t="str">
        <f>_xlfn.TEXTJOIN("; ",TRUE,Hindamistabel!K156:K160)</f>
        <v>RT, EELIS, KKK</v>
      </c>
      <c r="G41" s="158" t="str">
        <f>_xlfn.TEXTJOIN("; ",TRUE,Hindamistabel!L156:L160)</f>
        <v>ükski liik ei ole kaitseala kaitseväärtuseks, kuid saarmas on loodusala kaitseväärtus ja 2025. a leiti kaitsealal elamas 1 paar saarmaid (Mustvee jõgi on nende sigimispaigaks)</v>
      </c>
    </row>
    <row r="42" spans="1:7" ht="78.75" x14ac:dyDescent="0.4">
      <c r="A42" s="155" t="s">
        <v>325</v>
      </c>
      <c r="B42" s="156" t="s">
        <v>274</v>
      </c>
      <c r="C42" s="156" t="s">
        <v>320</v>
      </c>
      <c r="D42" s="168" t="s">
        <v>436</v>
      </c>
      <c r="E42" s="161" t="str">
        <f>IF(Hindamistabel!J161&lt;&gt;"",Hindamistabel!J161,"")</f>
        <v/>
      </c>
      <c r="F42" s="157" t="str">
        <f>IF(Hindamistabel!K161&lt;&gt;"",Hindamistabel!K161,"")</f>
        <v/>
      </c>
      <c r="G42" s="158" t="str">
        <f>IF(Hindamistabel!L161&lt;&gt;"",Hindamistabel!L161,"")</f>
        <v/>
      </c>
    </row>
    <row r="43" spans="1:7" ht="52.5" x14ac:dyDescent="0.4">
      <c r="A43" s="155" t="s">
        <v>328</v>
      </c>
      <c r="B43" s="156" t="s">
        <v>274</v>
      </c>
      <c r="C43" s="156" t="s">
        <v>320</v>
      </c>
      <c r="D43" s="168" t="s">
        <v>437</v>
      </c>
      <c r="E43" s="161" t="str">
        <f>IF(Hindamistabel!J162&lt;&gt;"",Hindamistabel!J162,"")</f>
        <v/>
      </c>
      <c r="F43" s="157" t="str">
        <f>IF(Hindamistabel!K162&lt;&gt;"",Hindamistabel!K162,"")</f>
        <v/>
      </c>
      <c r="G43" s="158" t="str">
        <f>IF(Hindamistabel!L162&lt;&gt;"",Hindamistabel!L162,"")</f>
        <v/>
      </c>
    </row>
    <row r="44" spans="1:7" ht="183.75" x14ac:dyDescent="0.4">
      <c r="A44" s="155" t="s">
        <v>331</v>
      </c>
      <c r="B44" s="156" t="s">
        <v>274</v>
      </c>
      <c r="C44" s="156" t="s">
        <v>320</v>
      </c>
      <c r="D44" s="168" t="s">
        <v>438</v>
      </c>
      <c r="E44" s="161" t="str">
        <f>IF(Hindamistabel!J163&lt;&gt;"",Hindamistabel!J163,"")</f>
        <v/>
      </c>
      <c r="F44" s="157" t="str">
        <f>IF(Hindamistabel!K163&lt;&gt;"",Hindamistabel!K163,"")</f>
        <v/>
      </c>
      <c r="G44" s="158" t="str">
        <f>IF(Hindamistabel!L163&lt;&gt;"",Hindamistabel!L163,"")</f>
        <v/>
      </c>
    </row>
    <row r="45" spans="1:7" ht="78.75" x14ac:dyDescent="0.4">
      <c r="A45" s="155" t="s">
        <v>334</v>
      </c>
      <c r="B45" s="156" t="s">
        <v>274</v>
      </c>
      <c r="C45" s="156" t="s">
        <v>320</v>
      </c>
      <c r="D45" s="168" t="s">
        <v>422</v>
      </c>
      <c r="E45" s="157"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57" t="str">
        <f>_xlfn.TEXTJOIN("; ",TRUE,Hindamistabel!K164:K168)</f>
        <v>EELIS, eksperdihinnang, KKK</v>
      </c>
      <c r="G45" s="158" t="str">
        <f>_xlfn.TEXTJOIN("; ",TRUE,Hindamistabel!L164:L168)</f>
        <v>kogu kaitseala on sihtkaitsevöönd ja valdavalt (85,5%) mets, mille seisund loodusliku arengu tulemusena on eeldatavasti paranenud; luhtadest (12,4% kaitsealast) on 70,1% hoolduses</v>
      </c>
    </row>
    <row r="46" spans="1:7" ht="78.75" x14ac:dyDescent="0.4">
      <c r="A46" s="155" t="s">
        <v>338</v>
      </c>
      <c r="B46" s="156" t="s">
        <v>274</v>
      </c>
      <c r="C46" s="156" t="s">
        <v>320</v>
      </c>
      <c r="D46" s="168" t="s">
        <v>439</v>
      </c>
      <c r="E46" s="161" t="str">
        <f>IF(Hindamistabel!J169&lt;&gt;"",Hindamistabel!J169,"")</f>
        <v>sihtkaitsevööndi kaitserežiim; pärandniitudel on üka maaomanik (riik); väike külastussurve</v>
      </c>
      <c r="F46" s="157" t="str">
        <f>IF(Hindamistabel!K169&lt;&gt;"",Hindamistabel!K169,"")</f>
        <v>eksperdiarvamus</v>
      </c>
      <c r="G46" s="158" t="str">
        <f>IF(Hindamistabel!L169&lt;&gt;"",Hindamistabel!L169,"")</f>
        <v>(hindaja arvamus)</v>
      </c>
    </row>
    <row r="47" spans="1:7" ht="78.75" x14ac:dyDescent="0.4">
      <c r="A47" s="155" t="s">
        <v>340</v>
      </c>
      <c r="B47" s="156" t="s">
        <v>274</v>
      </c>
      <c r="C47" s="156" t="s">
        <v>320</v>
      </c>
      <c r="D47" s="168" t="s">
        <v>440</v>
      </c>
      <c r="E47" s="161" t="str">
        <f>IF(Hindamistabel!J170&lt;&gt;"",Hindamistabel!J170,"")</f>
        <v>30% luhtadest, mis pole hoolduses, seisund on ilmselt halvenenud</v>
      </c>
      <c r="F47" s="157" t="str">
        <f>IF(Hindamistabel!K170&lt;&gt;"",Hindamistabel!K170,"")</f>
        <v>eksperdiarvamus</v>
      </c>
      <c r="G47" s="158" t="str">
        <f>IF(Hindamistabel!L170&lt;&gt;"",Hindamistabel!L170,"")</f>
        <v>poolloodusliku koosluse seisund hoolduse lakkamisel algul halveneb, kuid ajapikku hakkab koosluse looduslikkus suurenema ja kosluse seisund nüüd juba looduslikuna paranema; (hindaja arvamus)</v>
      </c>
    </row>
    <row r="48" spans="1:7" ht="174" customHeight="1" x14ac:dyDescent="0.4">
      <c r="A48" s="155" t="s">
        <v>343</v>
      </c>
      <c r="B48" s="156" t="s">
        <v>274</v>
      </c>
      <c r="C48" s="156" t="s">
        <v>320</v>
      </c>
      <c r="D48" s="168" t="s">
        <v>441</v>
      </c>
      <c r="E48" s="161" t="str">
        <f>IF(Hindamistabel!J171&lt;&gt;"",Hindamistabel!J171,"")</f>
        <v/>
      </c>
      <c r="F48" s="157" t="str">
        <f>IF(Hindamistabel!K171&lt;&gt;"",Hindamistabel!K171,"")</f>
        <v/>
      </c>
      <c r="G48" s="158" t="str">
        <f>IF(Hindamistabel!L171&lt;&gt;"",Hindamistabel!L171,"")</f>
        <v/>
      </c>
    </row>
    <row r="49" spans="1:7" ht="52.5" x14ac:dyDescent="0.4">
      <c r="A49" s="155">
        <v>16</v>
      </c>
      <c r="B49" s="156" t="s">
        <v>274</v>
      </c>
      <c r="C49" s="156" t="s">
        <v>320</v>
      </c>
      <c r="D49" s="168" t="s">
        <v>346</v>
      </c>
      <c r="E49" s="157"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57" t="str">
        <f>_xlfn.TEXTJOIN("; ",TRUE,Hindamistabel!K172:K175)</f>
        <v>ELME</v>
      </c>
      <c r="G49" s="158" t="str">
        <f>_xlfn.TEXTJOIN("; ",TRUE,Hindamistabel!L172:L175)</f>
        <v>hea (7,63 palli 10-palli skaalal)</v>
      </c>
    </row>
    <row r="50" spans="1:7" ht="52.5" x14ac:dyDescent="0.4">
      <c r="A50" s="155">
        <v>17</v>
      </c>
      <c r="B50" s="156" t="s">
        <v>274</v>
      </c>
      <c r="C50" s="156" t="s">
        <v>320</v>
      </c>
      <c r="D50" s="168" t="s">
        <v>351</v>
      </c>
      <c r="E50" s="157"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57" t="str">
        <f>_xlfn.TEXTJOIN("; ",TRUE,Hindamistabel!K176:K179)</f>
        <v>ELME</v>
      </c>
      <c r="G50" s="158" t="str">
        <f>_xlfn.TEXTJOIN("; ",TRUE,Hindamistabel!L176:L179)</f>
        <v>hea (78,96 palli 100-palli skaalal)</v>
      </c>
    </row>
    <row r="51" spans="1:7" ht="52.5" x14ac:dyDescent="0.4">
      <c r="A51" s="155" t="s">
        <v>354</v>
      </c>
      <c r="B51" s="156" t="s">
        <v>274</v>
      </c>
      <c r="C51" s="156" t="s">
        <v>320</v>
      </c>
      <c r="D51" s="168" t="s">
        <v>355</v>
      </c>
      <c r="E51" s="157"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57" t="str">
        <f>_xlfn.TEXTJOIN("; ",TRUE,Hindamistabel!K180:K182)</f>
        <v>OKAS</v>
      </c>
      <c r="G51" s="158" t="str">
        <f>_xlfn.TEXTJOIN("; ",TRUE,Hindamistabel!L180:L182)</f>
        <v>kalapüügirikkumised (alamõõdulise kala püüdmine); jäätmetealased rikkumised (suurema hulga kalajäänuste koondatult loodusesse jätmine); tõkkepuu lõhkumine kaitseala südamesse ja jõeäärde sõitmiseks</v>
      </c>
    </row>
    <row r="52" spans="1:7" ht="78.75" x14ac:dyDescent="0.4">
      <c r="A52" s="155" t="s">
        <v>361</v>
      </c>
      <c r="B52" s="156" t="s">
        <v>274</v>
      </c>
      <c r="C52" s="156" t="s">
        <v>320</v>
      </c>
      <c r="D52" s="168" t="s">
        <v>362</v>
      </c>
      <c r="E52" s="157" t="str">
        <f>IF(Hindamistabel!J183=TRUE,"Ei oska vastata",IF(Hindamistabel!J184=TRUE,"Jah, rikkumistel on võimalik (oluline) mõju kaitseväärtustele",IF(Hindamistabel!J185=TRUE,"Ei, rikkumistel ja/või selle tagajärgedel ei ole teadaolevaid (olulisi) mõjusid kaitseväärtustele","")))</f>
        <v>Ei, rikkumistel ja/või selle tagajärgedel ei ole teadaolevaid (olulisi) mõjusid kaitseväärtustele</v>
      </c>
      <c r="F52" s="157" t="str">
        <f>_xlfn.TEXTJOIN("; ",TRUE,Hindamistabel!K183:K185)</f>
        <v>RT, OKAS, eksperdiarvamus</v>
      </c>
      <c r="G52" s="158" t="str">
        <f>_xlfn.TEXTJOIN("; ",TRUE,Hindamistabel!L183:L185)</f>
        <v>jõe elupaigatüüp ega jõega seotud elustik (saarmas, paks jõekarp) ei ole seni kaitseala kaitseväärtuseks (saarmas on loodusala kaitseväärtuseks); (hindaja arvamus)</v>
      </c>
    </row>
    <row r="53" spans="1:7" ht="105" x14ac:dyDescent="0.4">
      <c r="A53" s="155" t="s">
        <v>366</v>
      </c>
      <c r="B53" s="156" t="s">
        <v>274</v>
      </c>
      <c r="C53" s="156" t="s">
        <v>320</v>
      </c>
      <c r="D53" s="168" t="s">
        <v>367</v>
      </c>
      <c r="E53" s="157"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kaitsekorra muutmine on kavas/tööplaanis ette nähtud, kuid sellega pole veel alustatud</v>
      </c>
      <c r="F53" s="157" t="str">
        <f>_xlfn.TEXTJOIN("; ",TRUE,Hindamistabel!K186:K190)</f>
        <v>eksperdiarvamus</v>
      </c>
      <c r="G53" s="158" t="str">
        <f>_xlfn.TEXTJOIN("; ",TRUE,Hindamistabel!L186:L190)</f>
        <v>alustatud on saarma lisamisega kaitseala kaitseväärtuste hulka (saarmas on juba varasemast loodusala kaitseväärtus), kuid muud puudused kaitse-eeskirjas jäävad praegu ilmselt ära parandamata; (hindaja arvamus)</v>
      </c>
    </row>
    <row r="54" spans="1:7" ht="78.75" x14ac:dyDescent="0.4">
      <c r="A54" s="155" t="s">
        <v>369</v>
      </c>
      <c r="B54" s="156" t="s">
        <v>274</v>
      </c>
      <c r="C54" s="156" t="s">
        <v>320</v>
      </c>
      <c r="D54" s="169" t="s">
        <v>442</v>
      </c>
      <c r="E54" s="157" t="str">
        <f>IF(Hindamistabel!J191&lt;&gt;"",Hindamistabel!J191,"")</f>
        <v/>
      </c>
      <c r="F54" s="157" t="str">
        <f>IF(Hindamistabel!K191&lt;&gt;"",Hindamistabel!K191,"")</f>
        <v/>
      </c>
      <c r="G54" s="158" t="str">
        <f>IF(Hindamistabel!L191&lt;&gt;"",Hindamistabel!L191,"")</f>
        <v/>
      </c>
    </row>
    <row r="55" spans="1:7" ht="78.75" x14ac:dyDescent="0.4">
      <c r="A55" s="155" t="s">
        <v>372</v>
      </c>
      <c r="B55" s="156" t="s">
        <v>274</v>
      </c>
      <c r="C55" s="156" t="s">
        <v>320</v>
      </c>
      <c r="D55" s="169" t="s">
        <v>370</v>
      </c>
      <c r="E55" s="161"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kaitse-eesmärkide muutmine on kavas/tööplaanis ette nähtud, kuid sellega pole veel alustatud</v>
      </c>
      <c r="F55" s="157" t="str">
        <f>_xlfn.TEXTJOIN("; ",TRUE,Hindamistabel!K192:K196)</f>
        <v>eksperdiarvamus</v>
      </c>
      <c r="G55" s="158" t="str">
        <f>_xlfn.TEXTJOIN("; ",TRUE,Hindamistabel!L192:L196)</f>
        <v>alustatud on saarma lisamisega kaitseala kaitseväärtuste hulka (saarmas on juba varasemast loodusala kaitseväärtus), kuid muud loodusväärtused (nt lendorav, paks jõekarp, võimalik elupaigatüüp jõed ja ojad (3260) jäävad praegu ilmselt lisamata; (hindaja arvamus)</v>
      </c>
    </row>
    <row r="56" spans="1:7" ht="105" x14ac:dyDescent="0.4">
      <c r="A56" s="155" t="s">
        <v>407</v>
      </c>
      <c r="B56" s="156" t="s">
        <v>274</v>
      </c>
      <c r="C56" s="156" t="s">
        <v>320</v>
      </c>
      <c r="D56" s="168" t="s">
        <v>443</v>
      </c>
      <c r="E56" s="161" t="str">
        <f>IF(Hindamistabel!J197&lt;&gt;"",Hindamistabel!J197,"")</f>
        <v/>
      </c>
      <c r="F56" s="157" t="str">
        <f>IF(Hindamistabel!K197&lt;&gt;"",Hindamistabel!K197,"")</f>
        <v/>
      </c>
      <c r="G56" s="158" t="str">
        <f>IF(Hindamistabel!L197&lt;&gt;"",Hindamistabel!L197,"")</f>
        <v/>
      </c>
    </row>
    <row r="57" spans="1:7" ht="103.5" customHeight="1" x14ac:dyDescent="0.4">
      <c r="A57" s="162">
        <v>20</v>
      </c>
      <c r="B57" s="163" t="s">
        <v>56</v>
      </c>
      <c r="C57" s="163" t="s">
        <v>56</v>
      </c>
      <c r="D57" s="170" t="s">
        <v>374</v>
      </c>
      <c r="E57" s="165" t="str">
        <f>IF(Hindamistabel!J198&lt;&gt;"",Hindamistabel!J198,"")</f>
        <v>K-E näeb vajaliku tegevusena ette (§ 6 lg 2) metsakoosluste kujundamise vastavalt kaitse-eesmärgile ja loodusliku veerežiimi taastamise, kuid praeguse sõnastuse järgi ei vaja need tegevused kaitseala valitseja kooskõlastust</v>
      </c>
      <c r="F57" s="164" t="str">
        <f>IF(Hindamistabel!K198&lt;&gt;"",Hindamistabel!K198,"")</f>
        <v>eksperdiarvamus</v>
      </c>
      <c r="G57" s="166" t="str">
        <f>IF(Hindamistabel!L198&lt;&gt;"",Hindamistabel!L198,"")</f>
        <v>metsakoosluse kujundamise ja loodusliku veerežiimi taastamise sildi all võib tahtmatult või tahtlikult kaitseala seisundit oluliselt kahjustada; (hindaja arvamus)</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2025-11-13T21:27:14Z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